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Q:\DATA\FP\Fiscal Monitor\2021-10-October Monitor\Fiscal Measures Database\"/>
    </mc:Choice>
  </mc:AlternateContent>
  <xr:revisionPtr revIDLastSave="0" documentId="14_{DB822BA2-5A59-47D7-91BF-D9513E40EEED}" xr6:coauthVersionLast="46" xr6:coauthVersionMax="46" xr10:uidLastSave="{00000000-0000-0000-0000-000000000000}"/>
  <bookViews>
    <workbookView xWindow="-110" yWindow="-110" windowWidth="19420" windowHeight="10420" firstSheet="1" activeTab="1" xr2:uid="{F63FA2F4-72A2-42CD-8675-46C63D8073D0}"/>
  </bookViews>
  <sheets>
    <sheet name="Table for SF_for publication" sheetId="5" state="hidden" r:id="rId1"/>
    <sheet name="Database" sheetId="8" r:id="rId2"/>
    <sheet name="Sheet1" sheetId="11" state="hidden" r:id="rId3"/>
    <sheet name="Database.Jun12" sheetId="24" state="hidden" r:id="rId4"/>
    <sheet name="Database.With SEE" sheetId="31" state="hidden" r:id="rId5"/>
    <sheet name="country list" sheetId="23" state="hidden" r:id="rId6"/>
    <sheet name="Summary.Global" sheetId="44" r:id="rId7"/>
    <sheet name="Figure" sheetId="40" r:id="rId8"/>
    <sheet name="Database.Jan 12 to SEC" sheetId="38" state="hidden" r:id="rId9"/>
    <sheet name="Summary.Global. Jan12 to SEC" sheetId="39" state="hidden" r:id="rId10"/>
    <sheet name="SEE - Bryn" sheetId="27" state="hidden" r:id="rId11"/>
    <sheet name="Summary.DeptComments" sheetId="32" state="hidden" r:id="rId12"/>
    <sheet name="Summary.Global.ToMgt" sheetId="28" state="hidden" r:id="rId13"/>
    <sheet name="Summary Table" sheetId="21" state="hidden" r:id="rId14"/>
    <sheet name="Summary.Global_Sep1" sheetId="33" state="hidden" r:id="rId15"/>
    <sheet name="Sheet3" sheetId="30" state="hidden" r:id="rId16"/>
    <sheet name="RES_G20Type" sheetId="19" state="hidden" r:id="rId17"/>
    <sheet name="RES_Notes" sheetId="20" state="hidden" r:id="rId18"/>
    <sheet name="SF Table_May1" sheetId="16" state="hidden" r:id="rId19"/>
    <sheet name="US measures" sheetId="14" state="hidden" r:id="rId20"/>
    <sheet name="USD_Billion" sheetId="12" state="hidden" r:id="rId21"/>
    <sheet name="PctGDP" sheetId="13" state="hidden" r:id="rId22"/>
    <sheet name="SF Table _FM Apr 8" sheetId="10" state="hidden" r:id="rId23"/>
    <sheet name="WKG" sheetId="9" state="hidden" r:id="rId24"/>
  </sheets>
  <definedNames>
    <definedName name="_xlnm._FilterDatabase" localSheetId="1" hidden="1">Database!$A$5:$F$203</definedName>
    <definedName name="_xlnm._FilterDatabase" localSheetId="8" hidden="1">'Database.Jan 12 to SEC'!$A$5:$F$197</definedName>
    <definedName name="_xlnm._FilterDatabase" localSheetId="3" hidden="1">Database.Jun12!$A$5:$F$5</definedName>
    <definedName name="_xlnm._FilterDatabase" localSheetId="4" hidden="1">'Database.With SEE'!$A$5:$F$206</definedName>
    <definedName name="_xlnm._FilterDatabase" localSheetId="15" hidden="1">Sheet3!$A$5:$A$199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Database!$C$2:$X$204</definedName>
    <definedName name="_xlnm.Print_Area" localSheetId="8">'Database.Jan 12 to SEC'!$C$2:$X$198</definedName>
    <definedName name="_xlnm.Print_Area" localSheetId="3">Database.Jun12!$C$2:$X$176</definedName>
    <definedName name="_xlnm.Print_Area" localSheetId="4">'Database.With SEE'!$C$2:$X$209</definedName>
    <definedName name="_xlnm.Print_Area" localSheetId="10">'SEE - Bryn'!$C$3:$U$16</definedName>
    <definedName name="_xlnm.Print_Area" localSheetId="22">'SF Table _FM Apr 8'!$A$3:$V$150</definedName>
    <definedName name="_xlnm.Print_Area" localSheetId="18">'SF Table_May1'!$A$3:$V$150</definedName>
    <definedName name="_xlnm.Print_Area" localSheetId="13">'Summary Table'!$B$1:$X$80</definedName>
    <definedName name="_xlnm.Print_Area" localSheetId="11">Summary.DeptComments!$B$1:$X$210</definedName>
    <definedName name="_xlnm.Print_Area" localSheetId="6">Summary.Global!$B$1:$X$214</definedName>
    <definedName name="_xlnm.Print_Area" localSheetId="9">'Summary.Global. Jan12 to SEC'!$B$1:$X$212</definedName>
    <definedName name="_xlnm.Print_Area" localSheetId="12">'Summary.Global.ToMgt'!$B$1:$X$210</definedName>
    <definedName name="_xlnm.Print_Area" localSheetId="14">Summary.Global_Sep1!$B$1:$X$210</definedName>
    <definedName name="_xlnm.Print_Area" localSheetId="0">'Table for SF_for publication'!$A$3:$R$149</definedName>
    <definedName name="_xlnm.Print_Titles" localSheetId="1">Database!$4:$5</definedName>
    <definedName name="_xlnm.Print_Titles" localSheetId="8">'Database.Jan 12 to SEC'!$4:$5</definedName>
    <definedName name="_xlnm.Print_Titles" localSheetId="3">Database.Jun12!$4:$5</definedName>
    <definedName name="_xlnm.Print_Titles" localSheetId="4">'Database.With SEE'!$4:$5</definedName>
    <definedName name="_xlnm.Print_Titles" localSheetId="10">'SEE - Bryn'!$3:$4</definedName>
    <definedName name="_xlnm.Print_Titles" localSheetId="22">'SF Table _FM Apr 8'!$7:$8</definedName>
    <definedName name="_xlnm.Print_Titles" localSheetId="18">'SF Table_May1'!$7:$8</definedName>
    <definedName name="_xlnm.Print_Titles" localSheetId="11">Summary.DeptComments!$1:$6</definedName>
    <definedName name="_xlnm.Print_Titles" localSheetId="6">Summary.Global!$1:$6</definedName>
    <definedName name="_xlnm.Print_Titles" localSheetId="9">'Summary.Global. Jan12 to SEC'!$1:$6</definedName>
    <definedName name="_xlnm.Print_Titles" localSheetId="12">'Summary.Global.ToMgt'!$1:$6</definedName>
    <definedName name="_xlnm.Print_Titles" localSheetId="14">Summary.Global_Sep1!$1:$6</definedName>
    <definedName name="_xlnm.Print_Titles" localSheetId="0">'Table for SF_for publication'!$7:$8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8" i="8" l="1"/>
  <c r="AD37" i="8"/>
  <c r="AD36" i="8"/>
  <c r="AD20" i="8"/>
  <c r="AD19" i="8"/>
  <c r="AD18" i="8"/>
  <c r="AD17" i="8"/>
  <c r="AD16" i="8"/>
  <c r="AD15" i="8"/>
  <c r="AD14" i="8"/>
  <c r="AD13" i="8"/>
  <c r="AD12" i="8"/>
  <c r="AD11" i="8"/>
  <c r="AD10" i="8"/>
  <c r="AD9" i="8"/>
  <c r="AD65" i="8"/>
  <c r="AD64" i="8"/>
  <c r="AD63" i="8"/>
  <c r="AD62" i="8"/>
  <c r="AD61" i="8"/>
  <c r="AD60" i="8"/>
  <c r="AD59" i="8"/>
  <c r="AD58" i="8"/>
  <c r="AD57" i="8"/>
  <c r="AD41" i="8"/>
  <c r="AD40" i="8"/>
  <c r="AD39" i="8"/>
  <c r="AD164" i="8" l="1"/>
  <c r="AD163" i="8"/>
  <c r="AD162" i="8"/>
  <c r="AD122" i="8"/>
  <c r="AD121" i="8"/>
  <c r="AD120" i="8"/>
  <c r="E24" i="12" l="1"/>
  <c r="D40" i="9"/>
  <c r="P25" i="9"/>
  <c r="P18" i="9"/>
  <c r="P8" i="9"/>
  <c r="F8" i="12"/>
  <c r="D11" i="12"/>
  <c r="L47" i="31"/>
  <c r="H50" i="38"/>
  <c r="P23" i="39" s="1"/>
  <c r="Q62" i="31"/>
  <c r="P62" i="31" s="1"/>
  <c r="G68" i="31"/>
  <c r="L80" i="31"/>
  <c r="H83" i="38"/>
  <c r="P48" i="39" s="1"/>
  <c r="J92" i="38"/>
  <c r="Q53" i="39" s="1"/>
  <c r="U32" i="38"/>
  <c r="W16" i="39" s="1"/>
  <c r="G101" i="38"/>
  <c r="O60" i="39" s="1"/>
  <c r="Q107" i="31"/>
  <c r="Q116" i="38"/>
  <c r="H134" i="24"/>
  <c r="U149" i="38"/>
  <c r="W137" i="39" s="1"/>
  <c r="G152" i="38"/>
  <c r="H155" i="38"/>
  <c r="P146" i="39" s="1"/>
  <c r="L170" i="24"/>
  <c r="Q74" i="24"/>
  <c r="G158" i="38"/>
  <c r="O161" i="39" s="1"/>
  <c r="Q170" i="31"/>
  <c r="P170" i="31" s="1"/>
  <c r="U86" i="31"/>
  <c r="J134" i="38"/>
  <c r="Q123" i="39" s="1"/>
  <c r="U155" i="31"/>
  <c r="J125" i="31"/>
  <c r="H131" i="31"/>
  <c r="H182" i="31"/>
  <c r="Q185" i="31"/>
  <c r="P185" i="31" s="1"/>
  <c r="H179" i="38"/>
  <c r="P183" i="39" s="1"/>
  <c r="H188" i="38"/>
  <c r="P199" i="39" s="1"/>
  <c r="L26" i="38"/>
  <c r="R14" i="39" s="1"/>
  <c r="U8" i="38"/>
  <c r="W8" i="39" s="1"/>
  <c r="Q70" i="38"/>
  <c r="I32" i="39" s="1"/>
  <c r="AD92" i="8"/>
  <c r="AD91" i="8"/>
  <c r="AD90" i="8"/>
  <c r="J214" i="39"/>
  <c r="G214" i="39"/>
  <c r="O113" i="39"/>
  <c r="C113" i="39"/>
  <c r="AD194" i="38"/>
  <c r="AD193" i="38"/>
  <c r="AD192" i="38"/>
  <c r="P192" i="38"/>
  <c r="AD191" i="38"/>
  <c r="AD190" i="38"/>
  <c r="AD189" i="38"/>
  <c r="P189" i="38"/>
  <c r="G189" i="38"/>
  <c r="G191" i="38" s="1"/>
  <c r="O200" i="39" s="1"/>
  <c r="AD188" i="38"/>
  <c r="AD187" i="38"/>
  <c r="AD186" i="38"/>
  <c r="P186" i="38"/>
  <c r="J186" i="38"/>
  <c r="AD185" i="38"/>
  <c r="AD184" i="38"/>
  <c r="AD183" i="38"/>
  <c r="P183" i="38"/>
  <c r="G183" i="38"/>
  <c r="AD182" i="38"/>
  <c r="AD181" i="38"/>
  <c r="AD180" i="38"/>
  <c r="J180" i="38"/>
  <c r="AD179" i="38"/>
  <c r="AD178" i="38"/>
  <c r="AD177" i="38"/>
  <c r="P177" i="38"/>
  <c r="J177" i="38"/>
  <c r="AD176" i="38"/>
  <c r="AD175" i="38"/>
  <c r="AD174" i="38"/>
  <c r="P174" i="38"/>
  <c r="AD173" i="38"/>
  <c r="AD172" i="38"/>
  <c r="AD171" i="38"/>
  <c r="P171" i="38"/>
  <c r="J171" i="38"/>
  <c r="AD170" i="38"/>
  <c r="AD169" i="38"/>
  <c r="AD168" i="38"/>
  <c r="J168" i="38"/>
  <c r="J170" i="38" s="1"/>
  <c r="Q168" i="39" s="1"/>
  <c r="AD167" i="38"/>
  <c r="AD166" i="38"/>
  <c r="AD165" i="38"/>
  <c r="P165" i="38"/>
  <c r="G165" i="38"/>
  <c r="G166" i="38" s="1"/>
  <c r="C167" i="39" s="1"/>
  <c r="AD164" i="38"/>
  <c r="AD163" i="38"/>
  <c r="AD162" i="38"/>
  <c r="P162" i="38"/>
  <c r="G162" i="38"/>
  <c r="AD161" i="38"/>
  <c r="AD160" i="38"/>
  <c r="AD159" i="38"/>
  <c r="P159" i="38"/>
  <c r="H159" i="38"/>
  <c r="J159" i="38" s="1"/>
  <c r="J161" i="38" s="1"/>
  <c r="Q163" i="39" s="1"/>
  <c r="AD158" i="38"/>
  <c r="AD157" i="38"/>
  <c r="AD156" i="38"/>
  <c r="P156" i="38"/>
  <c r="AD155" i="38"/>
  <c r="AD154" i="38"/>
  <c r="AD153" i="38"/>
  <c r="G153" i="38"/>
  <c r="AD152" i="38"/>
  <c r="AD151" i="38"/>
  <c r="AD150" i="38"/>
  <c r="AD149" i="38"/>
  <c r="AD148" i="38"/>
  <c r="AD147" i="38"/>
  <c r="P147" i="38"/>
  <c r="L147" i="38"/>
  <c r="J147" i="38"/>
  <c r="AD146" i="38"/>
  <c r="AD145" i="38"/>
  <c r="AD144" i="38"/>
  <c r="P144" i="38"/>
  <c r="AD143" i="38"/>
  <c r="AD142" i="38"/>
  <c r="AD141" i="38"/>
  <c r="P141" i="38"/>
  <c r="J141" i="38"/>
  <c r="J142" i="38" s="1"/>
  <c r="E128" i="39" s="1"/>
  <c r="AD140" i="38"/>
  <c r="AD139" i="38"/>
  <c r="AD138" i="38"/>
  <c r="P138" i="38"/>
  <c r="G138" i="38"/>
  <c r="AD137" i="38"/>
  <c r="AD136" i="38"/>
  <c r="AD135" i="38"/>
  <c r="U135" i="38"/>
  <c r="P135" i="38" s="1"/>
  <c r="G135" i="38"/>
  <c r="G136" i="38" s="1"/>
  <c r="C124" i="39" s="1"/>
  <c r="AD134" i="38"/>
  <c r="AD133" i="38"/>
  <c r="AD132" i="38"/>
  <c r="P132" i="38"/>
  <c r="G132" i="38"/>
  <c r="AD131" i="38"/>
  <c r="AD130" i="38"/>
  <c r="AD129" i="38"/>
  <c r="P129" i="38"/>
  <c r="G129" i="38"/>
  <c r="G131" i="38" s="1"/>
  <c r="O122" i="39" s="1"/>
  <c r="AD128" i="38"/>
  <c r="AD127" i="38"/>
  <c r="AD126" i="38"/>
  <c r="J126" i="38"/>
  <c r="G126" i="38" s="1"/>
  <c r="G127" i="38" s="1"/>
  <c r="C118" i="39" s="1"/>
  <c r="AD125" i="38"/>
  <c r="AD124" i="38"/>
  <c r="AD123" i="38"/>
  <c r="P123" i="38"/>
  <c r="G123" i="38"/>
  <c r="G124" i="38" s="1"/>
  <c r="C116" i="39" s="1"/>
  <c r="AD122" i="38"/>
  <c r="AD121" i="38"/>
  <c r="AD120" i="38"/>
  <c r="Q120" i="38"/>
  <c r="P120" i="38" s="1"/>
  <c r="G120" i="38"/>
  <c r="G121" i="38" s="1"/>
  <c r="C108" i="39" s="1"/>
  <c r="AD119" i="38"/>
  <c r="AD118" i="38"/>
  <c r="AD117" i="38"/>
  <c r="P117" i="38"/>
  <c r="AD116" i="38"/>
  <c r="AD115" i="38"/>
  <c r="AD114" i="38"/>
  <c r="P114" i="38"/>
  <c r="H114" i="38"/>
  <c r="G114" i="38"/>
  <c r="J114" i="38" s="1"/>
  <c r="AD113" i="38"/>
  <c r="AD112" i="38"/>
  <c r="AD111" i="38"/>
  <c r="P111" i="38"/>
  <c r="J111" i="38"/>
  <c r="AD110" i="38"/>
  <c r="AD109" i="38"/>
  <c r="AD108" i="38"/>
  <c r="P108" i="38"/>
  <c r="J108" i="38"/>
  <c r="AD107" i="38"/>
  <c r="AD106" i="38"/>
  <c r="AD105" i="38"/>
  <c r="P105" i="38"/>
  <c r="G105" i="38"/>
  <c r="AD104" i="38"/>
  <c r="AD103" i="38"/>
  <c r="AD102" i="38"/>
  <c r="W102" i="38"/>
  <c r="Q102" i="38"/>
  <c r="G102" i="38"/>
  <c r="AD101" i="38"/>
  <c r="AD100" i="38"/>
  <c r="AD99" i="38"/>
  <c r="P99" i="38"/>
  <c r="J99" i="38"/>
  <c r="J101" i="38" s="1"/>
  <c r="Q60" i="39" s="1"/>
  <c r="AD98" i="38"/>
  <c r="AD97" i="38"/>
  <c r="AD96" i="38"/>
  <c r="P96" i="38"/>
  <c r="G96" i="38"/>
  <c r="G97" i="38" s="1"/>
  <c r="C57" i="39" s="1"/>
  <c r="AD95" i="38"/>
  <c r="AD94" i="38"/>
  <c r="AD93" i="38"/>
  <c r="P93" i="38"/>
  <c r="G93" i="38"/>
  <c r="AD92" i="38"/>
  <c r="AD91" i="38"/>
  <c r="AD90" i="38"/>
  <c r="P90" i="38"/>
  <c r="G90" i="38"/>
  <c r="AD89" i="38"/>
  <c r="U89" i="38"/>
  <c r="Q89" i="38"/>
  <c r="U50" i="39" s="1"/>
  <c r="G89" i="38"/>
  <c r="AD88" i="38"/>
  <c r="AD87" i="38"/>
  <c r="P87" i="38"/>
  <c r="J87" i="38"/>
  <c r="AD86" i="38"/>
  <c r="AD85" i="38"/>
  <c r="AD84" i="38"/>
  <c r="P84" i="38"/>
  <c r="G84" i="38"/>
  <c r="G85" i="38" s="1"/>
  <c r="C49" i="39" s="1"/>
  <c r="AD83" i="38"/>
  <c r="AD82" i="38"/>
  <c r="AD81" i="38"/>
  <c r="P81" i="38"/>
  <c r="J81" i="38"/>
  <c r="AD80" i="38"/>
  <c r="AD79" i="38"/>
  <c r="AD78" i="38"/>
  <c r="Q78" i="38"/>
  <c r="J78" i="38"/>
  <c r="G78" i="38" s="1"/>
  <c r="AD77" i="38"/>
  <c r="AD76" i="38"/>
  <c r="AD75" i="38"/>
  <c r="P75" i="38"/>
  <c r="G75" i="38"/>
  <c r="AD74" i="38"/>
  <c r="AD73" i="38"/>
  <c r="AD72" i="38"/>
  <c r="P72" i="38"/>
  <c r="G72" i="38"/>
  <c r="AD71" i="38"/>
  <c r="AD70" i="38"/>
  <c r="AD69" i="38"/>
  <c r="P69" i="38"/>
  <c r="G69" i="38"/>
  <c r="G71" i="38" s="1"/>
  <c r="O32" i="39" s="1"/>
  <c r="AD68" i="38"/>
  <c r="AD67" i="38"/>
  <c r="AD66" i="38"/>
  <c r="P66" i="38"/>
  <c r="J66" i="38"/>
  <c r="AD65" i="38"/>
  <c r="AD64" i="38"/>
  <c r="AD63" i="38"/>
  <c r="P63" i="38"/>
  <c r="J63" i="38"/>
  <c r="G63" i="38"/>
  <c r="G64" i="38" s="1"/>
  <c r="C28" i="39" s="1"/>
  <c r="AD62" i="38"/>
  <c r="AD61" i="38"/>
  <c r="AD60" i="38"/>
  <c r="P60" i="38"/>
  <c r="G60" i="38"/>
  <c r="AD59" i="38"/>
  <c r="AD58" i="38"/>
  <c r="AD57" i="38"/>
  <c r="P57" i="38"/>
  <c r="G57" i="38"/>
  <c r="AD56" i="38"/>
  <c r="AD55" i="38"/>
  <c r="AD54" i="38"/>
  <c r="Q54" i="38"/>
  <c r="Q55" i="38" s="1"/>
  <c r="I25" i="39" s="1"/>
  <c r="G54" i="38"/>
  <c r="AD53" i="38"/>
  <c r="AD52" i="38"/>
  <c r="AD51" i="38"/>
  <c r="P51" i="38"/>
  <c r="J51" i="38"/>
  <c r="G51" i="38" s="1"/>
  <c r="AD50" i="38"/>
  <c r="AD49" i="38"/>
  <c r="AD48" i="38"/>
  <c r="P48" i="38"/>
  <c r="L48" i="38"/>
  <c r="G48" i="38"/>
  <c r="G50" i="38" s="1"/>
  <c r="O23" i="39" s="1"/>
  <c r="AD47" i="38"/>
  <c r="AD46" i="38"/>
  <c r="AD45" i="38"/>
  <c r="P45" i="38"/>
  <c r="J45" i="38"/>
  <c r="G45" i="38" s="1"/>
  <c r="G46" i="38" s="1"/>
  <c r="C22" i="39" s="1"/>
  <c r="AD44" i="38"/>
  <c r="AD43" i="38"/>
  <c r="AD42" i="38"/>
  <c r="W42" i="38"/>
  <c r="W44" i="38" s="1"/>
  <c r="X21" i="39" s="1"/>
  <c r="Q42" i="38"/>
  <c r="Q44" i="38" s="1"/>
  <c r="U21" i="39" s="1"/>
  <c r="L42" i="38"/>
  <c r="J42" i="38"/>
  <c r="H42" i="38"/>
  <c r="AD41" i="38"/>
  <c r="AD40" i="38"/>
  <c r="AD39" i="38"/>
  <c r="P39" i="38"/>
  <c r="J39" i="38"/>
  <c r="G39" i="38" s="1"/>
  <c r="H39" i="38"/>
  <c r="AD38" i="38"/>
  <c r="AD37" i="38"/>
  <c r="AD36" i="38"/>
  <c r="P36" i="38"/>
  <c r="J36" i="38"/>
  <c r="H36" i="38"/>
  <c r="AD35" i="38"/>
  <c r="AD34" i="38"/>
  <c r="AD33" i="38"/>
  <c r="P33" i="38"/>
  <c r="J33" i="38"/>
  <c r="G33" i="38" s="1"/>
  <c r="AD32" i="38"/>
  <c r="AD31" i="38"/>
  <c r="AD30" i="38"/>
  <c r="AB30" i="38"/>
  <c r="P30" i="38"/>
  <c r="J30" i="38"/>
  <c r="G30" i="38" s="1"/>
  <c r="G31" i="38" s="1"/>
  <c r="C16" i="39" s="1"/>
  <c r="AD29" i="38"/>
  <c r="AD28" i="38"/>
  <c r="AD27" i="38"/>
  <c r="P27" i="38"/>
  <c r="P28" i="38" s="1"/>
  <c r="H15" i="39" s="1"/>
  <c r="L27" i="38"/>
  <c r="L29" i="38" s="1"/>
  <c r="R15" i="39" s="1"/>
  <c r="J27" i="38"/>
  <c r="G27" i="38"/>
  <c r="AD26" i="38"/>
  <c r="AD25" i="38"/>
  <c r="AD24" i="38"/>
  <c r="P24" i="38"/>
  <c r="G24" i="38"/>
  <c r="AD23" i="38"/>
  <c r="AD22" i="38"/>
  <c r="AD21" i="38"/>
  <c r="P21" i="38"/>
  <c r="J21" i="38"/>
  <c r="H21" i="38"/>
  <c r="AD20" i="38"/>
  <c r="AD19" i="38"/>
  <c r="AD18" i="38"/>
  <c r="U18" i="38"/>
  <c r="P18" i="38"/>
  <c r="J18" i="38"/>
  <c r="J19" i="38" s="1"/>
  <c r="E12" i="39" s="1"/>
  <c r="AD17" i="38"/>
  <c r="AD16" i="38"/>
  <c r="AD15" i="38"/>
  <c r="P15" i="38"/>
  <c r="L15" i="38"/>
  <c r="J15" i="38"/>
  <c r="G15" i="38"/>
  <c r="AD14" i="38"/>
  <c r="AD13" i="38"/>
  <c r="AD12" i="38"/>
  <c r="P12" i="38"/>
  <c r="AD11" i="38"/>
  <c r="AD10" i="38"/>
  <c r="AD9" i="38"/>
  <c r="P9" i="38"/>
  <c r="G9" i="38"/>
  <c r="AD8" i="38"/>
  <c r="AD7" i="38"/>
  <c r="AD6" i="38"/>
  <c r="P6" i="38"/>
  <c r="J6" i="38"/>
  <c r="F8" i="39"/>
  <c r="L8" i="39"/>
  <c r="R8" i="39"/>
  <c r="X8" i="39"/>
  <c r="L9" i="39"/>
  <c r="X9" i="39"/>
  <c r="F10" i="39"/>
  <c r="L10" i="39"/>
  <c r="R10" i="39"/>
  <c r="X10" i="39"/>
  <c r="C19" i="39"/>
  <c r="H19" i="39"/>
  <c r="O19" i="39"/>
  <c r="T19" i="39"/>
  <c r="P102" i="38"/>
  <c r="I14" i="39"/>
  <c r="U14" i="39"/>
  <c r="I15" i="39"/>
  <c r="U15" i="39"/>
  <c r="D19" i="39"/>
  <c r="I19" i="39"/>
  <c r="P19" i="39"/>
  <c r="U19" i="39"/>
  <c r="U188" i="39"/>
  <c r="I188" i="39"/>
  <c r="X199" i="39"/>
  <c r="R199" i="39"/>
  <c r="L199" i="39"/>
  <c r="F199" i="39"/>
  <c r="W200" i="39"/>
  <c r="K200" i="39"/>
  <c r="W199" i="39"/>
  <c r="K199" i="39"/>
  <c r="U184" i="39"/>
  <c r="I184" i="39"/>
  <c r="U168" i="39"/>
  <c r="I168" i="39"/>
  <c r="U167" i="39"/>
  <c r="I167" i="39"/>
  <c r="X188" i="39"/>
  <c r="T184" i="39"/>
  <c r="H184" i="39"/>
  <c r="T168" i="39"/>
  <c r="H168" i="39"/>
  <c r="X184" i="39"/>
  <c r="R184" i="39"/>
  <c r="L184" i="39"/>
  <c r="F184" i="39"/>
  <c r="X183" i="39"/>
  <c r="R183" i="39"/>
  <c r="L183" i="39"/>
  <c r="F183" i="39"/>
  <c r="X181" i="39"/>
  <c r="R181" i="39"/>
  <c r="L181" i="39"/>
  <c r="F181" i="39"/>
  <c r="X180" i="39"/>
  <c r="R180" i="39"/>
  <c r="L180" i="39"/>
  <c r="F180" i="39"/>
  <c r="X168" i="39"/>
  <c r="L168" i="39"/>
  <c r="R167" i="39"/>
  <c r="F167" i="39"/>
  <c r="X165" i="39"/>
  <c r="R165" i="39"/>
  <c r="L165" i="39"/>
  <c r="F165" i="39"/>
  <c r="X163" i="39"/>
  <c r="R163" i="39"/>
  <c r="L163" i="39"/>
  <c r="F163" i="39"/>
  <c r="X161" i="39"/>
  <c r="R161" i="39"/>
  <c r="L161" i="39"/>
  <c r="F161" i="39"/>
  <c r="L188" i="39"/>
  <c r="W184" i="39"/>
  <c r="K184" i="39"/>
  <c r="W181" i="39"/>
  <c r="K181" i="39"/>
  <c r="W180" i="39"/>
  <c r="K180" i="39"/>
  <c r="W168" i="39"/>
  <c r="K168" i="39"/>
  <c r="W165" i="39"/>
  <c r="K165" i="39"/>
  <c r="W163" i="39"/>
  <c r="K163" i="39"/>
  <c r="W161" i="39"/>
  <c r="K161" i="39"/>
  <c r="T146" i="39"/>
  <c r="H146" i="39"/>
  <c r="W144" i="39"/>
  <c r="Q144" i="39"/>
  <c r="K144" i="39"/>
  <c r="E144" i="39"/>
  <c r="T141" i="39"/>
  <c r="H141" i="39"/>
  <c r="X146" i="39"/>
  <c r="R146" i="39"/>
  <c r="L146" i="39"/>
  <c r="F146" i="39"/>
  <c r="U144" i="39"/>
  <c r="P144" i="39"/>
  <c r="I144" i="39"/>
  <c r="X141" i="39"/>
  <c r="R141" i="39"/>
  <c r="L141" i="39"/>
  <c r="F141" i="39"/>
  <c r="X137" i="39"/>
  <c r="L137" i="39"/>
  <c r="R134" i="39"/>
  <c r="F134" i="39"/>
  <c r="U128" i="39"/>
  <c r="I128" i="39"/>
  <c r="W146" i="39"/>
  <c r="K146" i="39"/>
  <c r="T144" i="39"/>
  <c r="O144" i="39"/>
  <c r="H144" i="39"/>
  <c r="W141" i="39"/>
  <c r="Q141" i="39"/>
  <c r="K141" i="39"/>
  <c r="E141" i="39"/>
  <c r="Q134" i="39"/>
  <c r="E134" i="39"/>
  <c r="U146" i="39"/>
  <c r="I146" i="39"/>
  <c r="X144" i="39"/>
  <c r="R144" i="39"/>
  <c r="L144" i="39"/>
  <c r="F144" i="39"/>
  <c r="U141" i="39"/>
  <c r="P141" i="39"/>
  <c r="I141" i="39"/>
  <c r="D141" i="39"/>
  <c r="P134" i="39"/>
  <c r="D134" i="39"/>
  <c r="X126" i="39"/>
  <c r="X124" i="39"/>
  <c r="R124" i="39"/>
  <c r="L124" i="39"/>
  <c r="F124" i="39"/>
  <c r="X123" i="39"/>
  <c r="R123" i="39"/>
  <c r="L123" i="39"/>
  <c r="F123" i="39"/>
  <c r="X122" i="39"/>
  <c r="L122" i="39"/>
  <c r="X118" i="39"/>
  <c r="L118" i="39"/>
  <c r="R116" i="39"/>
  <c r="F116" i="39"/>
  <c r="W108" i="39"/>
  <c r="K108" i="39"/>
  <c r="W101" i="39"/>
  <c r="Q101" i="39"/>
  <c r="K101" i="39"/>
  <c r="E101" i="39"/>
  <c r="F126" i="39"/>
  <c r="W118" i="39"/>
  <c r="K118" i="39"/>
  <c r="W116" i="39"/>
  <c r="K116" i="39"/>
  <c r="L126" i="39"/>
  <c r="U122" i="39"/>
  <c r="I122" i="39"/>
  <c r="U118" i="39"/>
  <c r="I118" i="39"/>
  <c r="U116" i="39"/>
  <c r="I116" i="39"/>
  <c r="R126" i="39"/>
  <c r="T118" i="39"/>
  <c r="H118" i="39"/>
  <c r="R108" i="39"/>
  <c r="F108" i="39"/>
  <c r="X92" i="39"/>
  <c r="R92" i="39"/>
  <c r="L92" i="39"/>
  <c r="F92" i="39"/>
  <c r="X86" i="39"/>
  <c r="R86" i="39"/>
  <c r="L86" i="39"/>
  <c r="F86" i="39"/>
  <c r="X80" i="39"/>
  <c r="L80" i="39"/>
  <c r="R101" i="39"/>
  <c r="F101" i="39"/>
  <c r="W92" i="39"/>
  <c r="K92" i="39"/>
  <c r="W86" i="39"/>
  <c r="K86" i="39"/>
  <c r="W79" i="39"/>
  <c r="K79" i="39"/>
  <c r="W77" i="39"/>
  <c r="K77" i="39"/>
  <c r="P101" i="39"/>
  <c r="D101" i="39"/>
  <c r="U79" i="39"/>
  <c r="I79" i="39"/>
  <c r="X60" i="39"/>
  <c r="R60" i="39"/>
  <c r="L60" i="39"/>
  <c r="F60" i="39"/>
  <c r="U59" i="39"/>
  <c r="P59" i="39"/>
  <c r="I59" i="39"/>
  <c r="W53" i="39"/>
  <c r="K53" i="39"/>
  <c r="W50" i="39"/>
  <c r="T30" i="39"/>
  <c r="O30" i="39"/>
  <c r="H30" i="39"/>
  <c r="T59" i="39"/>
  <c r="O59" i="39"/>
  <c r="U51" i="39"/>
  <c r="I51" i="39"/>
  <c r="U48" i="39"/>
  <c r="I48" i="39"/>
  <c r="X30" i="39"/>
  <c r="R30" i="39"/>
  <c r="L30" i="39"/>
  <c r="X27" i="39"/>
  <c r="L27" i="39"/>
  <c r="X24" i="39"/>
  <c r="R24" i="39"/>
  <c r="L24" i="39"/>
  <c r="F24" i="39"/>
  <c r="X20" i="39"/>
  <c r="L20" i="39"/>
  <c r="U60" i="39"/>
  <c r="I60" i="39"/>
  <c r="X59" i="39"/>
  <c r="R59" i="39"/>
  <c r="L59" i="39"/>
  <c r="O50" i="39"/>
  <c r="X35" i="39"/>
  <c r="L35" i="39"/>
  <c r="X34" i="39"/>
  <c r="L34" i="39"/>
  <c r="X32" i="39"/>
  <c r="L32" i="39"/>
  <c r="W30" i="39"/>
  <c r="Q30" i="39"/>
  <c r="K30" i="39"/>
  <c r="W27" i="39"/>
  <c r="K27" i="39"/>
  <c r="W21" i="39"/>
  <c r="K21" i="39"/>
  <c r="W59" i="39"/>
  <c r="Q59" i="39"/>
  <c r="K59" i="39"/>
  <c r="X57" i="39"/>
  <c r="R57" i="39"/>
  <c r="L57" i="39"/>
  <c r="F57" i="39"/>
  <c r="X56" i="39"/>
  <c r="L56" i="39"/>
  <c r="X53" i="39"/>
  <c r="R53" i="39"/>
  <c r="L53" i="39"/>
  <c r="F53" i="39"/>
  <c r="X50" i="39"/>
  <c r="R50" i="39"/>
  <c r="L50" i="39"/>
  <c r="F50" i="39"/>
  <c r="X49" i="39"/>
  <c r="R49" i="39"/>
  <c r="L49" i="39"/>
  <c r="F49" i="39"/>
  <c r="X48" i="39"/>
  <c r="L48" i="39"/>
  <c r="U30" i="39"/>
  <c r="P30" i="39"/>
  <c r="I30" i="39"/>
  <c r="U28" i="39"/>
  <c r="I28" i="39"/>
  <c r="U22" i="39"/>
  <c r="I22" i="39"/>
  <c r="G6" i="38"/>
  <c r="P78" i="38"/>
  <c r="G168" i="38"/>
  <c r="E19" i="39"/>
  <c r="K19" i="39"/>
  <c r="Q19" i="39"/>
  <c r="W19" i="39"/>
  <c r="I20" i="39"/>
  <c r="U20" i="39"/>
  <c r="G171" i="38"/>
  <c r="G172" i="38" s="1"/>
  <c r="C180" i="39" s="1"/>
  <c r="L11" i="39"/>
  <c r="X11" i="39"/>
  <c r="F12" i="39"/>
  <c r="L12" i="39"/>
  <c r="R12" i="39"/>
  <c r="X12" i="39"/>
  <c r="L13" i="39"/>
  <c r="X13" i="39"/>
  <c r="L17" i="39"/>
  <c r="X17" i="39"/>
  <c r="L18" i="39"/>
  <c r="X18" i="39"/>
  <c r="F19" i="39"/>
  <c r="L19" i="39"/>
  <c r="R19" i="39"/>
  <c r="X19" i="39"/>
  <c r="G13" i="24"/>
  <c r="T204" i="33"/>
  <c r="H204" i="33"/>
  <c r="T109" i="32"/>
  <c r="O109" i="32"/>
  <c r="H109" i="32"/>
  <c r="C109" i="32"/>
  <c r="E98" i="32"/>
  <c r="E131" i="32"/>
  <c r="Q131" i="32"/>
  <c r="O169" i="32"/>
  <c r="Q192" i="32"/>
  <c r="O196" i="32"/>
  <c r="C196" i="32"/>
  <c r="AD147" i="8"/>
  <c r="AD203" i="31"/>
  <c r="AD202" i="31"/>
  <c r="AD201" i="31"/>
  <c r="P201" i="31"/>
  <c r="AD200" i="31"/>
  <c r="AD199" i="31"/>
  <c r="AD198" i="31"/>
  <c r="P198" i="31"/>
  <c r="G198" i="31"/>
  <c r="J198" i="31" s="1"/>
  <c r="J199" i="31" s="1"/>
  <c r="AD197" i="31"/>
  <c r="AD196" i="31"/>
  <c r="AD195" i="31"/>
  <c r="P195" i="31"/>
  <c r="J195" i="31"/>
  <c r="AD194" i="31"/>
  <c r="AD193" i="31"/>
  <c r="AD192" i="31"/>
  <c r="P192" i="31"/>
  <c r="J192" i="31"/>
  <c r="G192" i="31" s="1"/>
  <c r="G193" i="31" s="1"/>
  <c r="AD191" i="31"/>
  <c r="AD190" i="31"/>
  <c r="AD189" i="31"/>
  <c r="J189" i="31"/>
  <c r="J190" i="31" s="1"/>
  <c r="AD188" i="31"/>
  <c r="AD187" i="31"/>
  <c r="AD186" i="31"/>
  <c r="P186" i="31"/>
  <c r="J186" i="31"/>
  <c r="J187" i="31" s="1"/>
  <c r="AD185" i="31"/>
  <c r="AD184" i="31"/>
  <c r="AD183" i="31"/>
  <c r="P183" i="31"/>
  <c r="J183" i="31"/>
  <c r="AD182" i="31"/>
  <c r="AD181" i="31"/>
  <c r="AD180" i="31"/>
  <c r="P180" i="31"/>
  <c r="AD179" i="31"/>
  <c r="AD178" i="31"/>
  <c r="AD177" i="31"/>
  <c r="J177" i="31"/>
  <c r="J178" i="31" s="1"/>
  <c r="G177" i="31"/>
  <c r="AD176" i="31"/>
  <c r="AD175" i="31"/>
  <c r="AD174" i="31"/>
  <c r="P174" i="31"/>
  <c r="G174" i="31"/>
  <c r="G175" i="31" s="1"/>
  <c r="AD173" i="31"/>
  <c r="AD172" i="31"/>
  <c r="AD171" i="31"/>
  <c r="AD170" i="31"/>
  <c r="AD169" i="31"/>
  <c r="AD168" i="31"/>
  <c r="P168" i="31"/>
  <c r="H168" i="31"/>
  <c r="H169" i="31" s="1"/>
  <c r="AD167" i="31"/>
  <c r="AD166" i="31"/>
  <c r="AD165" i="31"/>
  <c r="P165" i="31"/>
  <c r="G165" i="31"/>
  <c r="AD164" i="31"/>
  <c r="AD163" i="31"/>
  <c r="AD162" i="31"/>
  <c r="AD161" i="31"/>
  <c r="AD160" i="31"/>
  <c r="AD159" i="31"/>
  <c r="AD158" i="31"/>
  <c r="AD157" i="31"/>
  <c r="AD156" i="31"/>
  <c r="Q156" i="31"/>
  <c r="P156" i="31" s="1"/>
  <c r="L156" i="31"/>
  <c r="L157" i="31" s="1"/>
  <c r="J156" i="31"/>
  <c r="G156" i="31" s="1"/>
  <c r="G157" i="31" s="1"/>
  <c r="AD155" i="31"/>
  <c r="AD154" i="31"/>
  <c r="AD153" i="31"/>
  <c r="P153" i="31"/>
  <c r="AD152" i="31"/>
  <c r="AD151" i="31"/>
  <c r="AD150" i="31"/>
  <c r="P150" i="31"/>
  <c r="AD149" i="31"/>
  <c r="AD148" i="31"/>
  <c r="AD147" i="31"/>
  <c r="P147" i="31"/>
  <c r="J147" i="31"/>
  <c r="AD146" i="31"/>
  <c r="AD145" i="31"/>
  <c r="AD144" i="31"/>
  <c r="W144" i="31"/>
  <c r="U144" i="31"/>
  <c r="J144" i="31"/>
  <c r="G144" i="31" s="1"/>
  <c r="G145" i="31" s="1"/>
  <c r="AD143" i="31"/>
  <c r="AD142" i="31"/>
  <c r="AD141" i="31"/>
  <c r="Q141" i="31"/>
  <c r="P141" i="31"/>
  <c r="J141" i="31"/>
  <c r="AD140" i="31"/>
  <c r="AD139" i="31"/>
  <c r="AD138" i="31"/>
  <c r="P138" i="31"/>
  <c r="H138" i="31"/>
  <c r="H140" i="31" s="1"/>
  <c r="AD137" i="31"/>
  <c r="AD136" i="31"/>
  <c r="AD135" i="31"/>
  <c r="J135" i="31"/>
  <c r="G135" i="31" s="1"/>
  <c r="G136" i="31" s="1"/>
  <c r="AD134" i="31"/>
  <c r="AD133" i="31"/>
  <c r="AD132" i="31"/>
  <c r="P132" i="31"/>
  <c r="G132" i="31"/>
  <c r="G134" i="31" s="1"/>
  <c r="AD131" i="31"/>
  <c r="AD130" i="31"/>
  <c r="AD129" i="31"/>
  <c r="P129" i="31"/>
  <c r="G129" i="31"/>
  <c r="AD128" i="31"/>
  <c r="AD127" i="31"/>
  <c r="AD126" i="31"/>
  <c r="Q126" i="31"/>
  <c r="P126" i="31"/>
  <c r="G126" i="31"/>
  <c r="AD125" i="31"/>
  <c r="AD124" i="31"/>
  <c r="AD123" i="31"/>
  <c r="P123" i="31"/>
  <c r="G123" i="31"/>
  <c r="G125" i="31" s="1"/>
  <c r="AD122" i="31"/>
  <c r="AD121" i="31"/>
  <c r="AD120" i="31"/>
  <c r="P120" i="31"/>
  <c r="AD119" i="31"/>
  <c r="AD118" i="31"/>
  <c r="AD117" i="31"/>
  <c r="P117" i="31"/>
  <c r="J117" i="31"/>
  <c r="J118" i="31" s="1"/>
  <c r="AD116" i="31"/>
  <c r="AD115" i="31"/>
  <c r="AD114" i="31"/>
  <c r="P114" i="31"/>
  <c r="J114" i="31"/>
  <c r="J115" i="31" s="1"/>
  <c r="AD113" i="31"/>
  <c r="AD112" i="31"/>
  <c r="AD111" i="31"/>
  <c r="P111" i="31"/>
  <c r="AD110" i="31"/>
  <c r="AD109" i="31"/>
  <c r="AD108" i="31"/>
  <c r="P108" i="31"/>
  <c r="J108" i="31"/>
  <c r="J110" i="31" s="1"/>
  <c r="AD107" i="31"/>
  <c r="AD106" i="31"/>
  <c r="AD105" i="31"/>
  <c r="W105" i="31"/>
  <c r="Q105" i="31"/>
  <c r="G105" i="31"/>
  <c r="AD104" i="31"/>
  <c r="AD103" i="31"/>
  <c r="AD102" i="31"/>
  <c r="P102" i="31"/>
  <c r="AD101" i="31"/>
  <c r="AD100" i="31"/>
  <c r="AD99" i="31"/>
  <c r="P99" i="31"/>
  <c r="AD98" i="31"/>
  <c r="AD97" i="31"/>
  <c r="AD96" i="31"/>
  <c r="P96" i="31"/>
  <c r="G96" i="31"/>
  <c r="G97" i="31" s="1"/>
  <c r="AD95" i="31"/>
  <c r="AD94" i="31"/>
  <c r="AD93" i="31"/>
  <c r="P93" i="31"/>
  <c r="J93" i="31"/>
  <c r="AD92" i="31"/>
  <c r="AD91" i="31"/>
  <c r="AD90" i="31"/>
  <c r="P90" i="31"/>
  <c r="G90" i="31"/>
  <c r="G92" i="31" s="1"/>
  <c r="AD89" i="31"/>
  <c r="U89" i="31"/>
  <c r="Q89" i="31"/>
  <c r="G89" i="31"/>
  <c r="AD88" i="31"/>
  <c r="AD87" i="31"/>
  <c r="P87" i="31"/>
  <c r="AD86" i="31"/>
  <c r="AD85" i="31"/>
  <c r="AD84" i="31"/>
  <c r="P84" i="31"/>
  <c r="J84" i="31"/>
  <c r="J85" i="31" s="1"/>
  <c r="AD83" i="31"/>
  <c r="AD82" i="31"/>
  <c r="AD81" i="31"/>
  <c r="P81" i="31"/>
  <c r="P82" i="31" s="1"/>
  <c r="G81" i="31"/>
  <c r="AD80" i="31"/>
  <c r="AD79" i="31"/>
  <c r="AD78" i="31"/>
  <c r="Q78" i="31"/>
  <c r="P78" i="31" s="1"/>
  <c r="G78" i="31"/>
  <c r="AD77" i="31"/>
  <c r="AD76" i="31"/>
  <c r="AD75" i="31"/>
  <c r="P75" i="31"/>
  <c r="J75" i="31"/>
  <c r="J76" i="31" s="1"/>
  <c r="AD74" i="31"/>
  <c r="AD73" i="31"/>
  <c r="AD72" i="31"/>
  <c r="P72" i="31"/>
  <c r="G72" i="31"/>
  <c r="G73" i="31" s="1"/>
  <c r="AD71" i="31"/>
  <c r="AD70" i="31"/>
  <c r="AD69" i="31"/>
  <c r="P69" i="31"/>
  <c r="G69" i="31"/>
  <c r="G70" i="31" s="1"/>
  <c r="AD68" i="31"/>
  <c r="AD67" i="31"/>
  <c r="AD66" i="31"/>
  <c r="P66" i="31"/>
  <c r="J66" i="31"/>
  <c r="AD65" i="31"/>
  <c r="AD64" i="31"/>
  <c r="AD63" i="31"/>
  <c r="P63" i="31"/>
  <c r="G63" i="31"/>
  <c r="G65" i="31" s="1"/>
  <c r="AD62" i="31"/>
  <c r="AD61" i="31"/>
  <c r="AD60" i="31"/>
  <c r="P60" i="31"/>
  <c r="G60" i="31"/>
  <c r="AD59" i="31"/>
  <c r="AD58" i="31"/>
  <c r="AD57" i="31"/>
  <c r="P57" i="31"/>
  <c r="P58" i="31" s="1"/>
  <c r="J57" i="31"/>
  <c r="J58" i="31" s="1"/>
  <c r="AD56" i="31"/>
  <c r="AD55" i="31"/>
  <c r="AD54" i="31"/>
  <c r="P54" i="31"/>
  <c r="P55" i="31" s="1"/>
  <c r="G54" i="31"/>
  <c r="AD53" i="31"/>
  <c r="AD52" i="31"/>
  <c r="AD51" i="31"/>
  <c r="J51" i="31"/>
  <c r="J53" i="31" s="1"/>
  <c r="AD50" i="31"/>
  <c r="AD49" i="31"/>
  <c r="AD48" i="31"/>
  <c r="P48" i="31"/>
  <c r="AD47" i="31"/>
  <c r="AD46" i="31"/>
  <c r="AD45" i="31"/>
  <c r="P45" i="31"/>
  <c r="G45" i="31"/>
  <c r="G46" i="31" s="1"/>
  <c r="AD44" i="31"/>
  <c r="AD43" i="31"/>
  <c r="AD42" i="31"/>
  <c r="P42" i="31"/>
  <c r="P43" i="31" s="1"/>
  <c r="J42" i="31"/>
  <c r="J43" i="31" s="1"/>
  <c r="H42" i="31"/>
  <c r="H43" i="31" s="1"/>
  <c r="AD41" i="31"/>
  <c r="AD40" i="31"/>
  <c r="AD39" i="31"/>
  <c r="P39" i="31"/>
  <c r="P40" i="31" s="1"/>
  <c r="J39" i="31"/>
  <c r="G39" i="31" s="1"/>
  <c r="G40" i="31" s="1"/>
  <c r="AD38" i="31"/>
  <c r="AD37" i="31"/>
  <c r="AD36" i="31"/>
  <c r="P36" i="31"/>
  <c r="J36" i="31"/>
  <c r="G36" i="31" s="1"/>
  <c r="G37" i="31" s="1"/>
  <c r="AD35" i="31"/>
  <c r="AD34" i="31"/>
  <c r="AD33" i="31"/>
  <c r="P33" i="31"/>
  <c r="P34" i="31" s="1"/>
  <c r="J33" i="31"/>
  <c r="G33" i="31" s="1"/>
  <c r="G34" i="31" s="1"/>
  <c r="H33" i="31"/>
  <c r="AD32" i="31"/>
  <c r="AD31" i="31"/>
  <c r="AD30" i="31"/>
  <c r="AB30" i="31"/>
  <c r="P30" i="31"/>
  <c r="AD29" i="31"/>
  <c r="AD28" i="31"/>
  <c r="AD27" i="31"/>
  <c r="P27" i="31"/>
  <c r="G27" i="31"/>
  <c r="AD26" i="31"/>
  <c r="AD25" i="31"/>
  <c r="AD24" i="31"/>
  <c r="P24" i="31"/>
  <c r="G24" i="31"/>
  <c r="AD23" i="31"/>
  <c r="AD22" i="31"/>
  <c r="AD21" i="31"/>
  <c r="P21" i="31"/>
  <c r="P22" i="31" s="1"/>
  <c r="AD20" i="31"/>
  <c r="AD19" i="31"/>
  <c r="AD18" i="31"/>
  <c r="P18" i="31"/>
  <c r="G18" i="31"/>
  <c r="G19" i="31" s="1"/>
  <c r="AD17" i="31"/>
  <c r="AD16" i="31"/>
  <c r="AD15" i="31"/>
  <c r="P15" i="31"/>
  <c r="L15" i="31"/>
  <c r="J15" i="31"/>
  <c r="G15" i="31" s="1"/>
  <c r="G16" i="31" s="1"/>
  <c r="AD14" i="31"/>
  <c r="AD13" i="31"/>
  <c r="AD12" i="31"/>
  <c r="P12" i="31"/>
  <c r="AD11" i="31"/>
  <c r="AD10" i="31"/>
  <c r="AD9" i="31"/>
  <c r="P9" i="31"/>
  <c r="AD8" i="31"/>
  <c r="AD7" i="31"/>
  <c r="AD6" i="31"/>
  <c r="P6" i="31"/>
  <c r="G6" i="31"/>
  <c r="P105" i="31"/>
  <c r="AD180" i="8"/>
  <c r="AD181" i="8"/>
  <c r="AD182" i="8"/>
  <c r="AD183" i="8"/>
  <c r="AD184" i="8"/>
  <c r="AD185" i="8"/>
  <c r="AD186" i="8"/>
  <c r="AD187" i="8"/>
  <c r="AD188" i="8"/>
  <c r="AD189" i="8"/>
  <c r="AD190" i="8"/>
  <c r="AD191" i="8"/>
  <c r="AD192" i="8"/>
  <c r="AD193" i="8"/>
  <c r="AD194" i="8"/>
  <c r="AD195" i="8"/>
  <c r="AD196" i="8"/>
  <c r="AD197" i="8"/>
  <c r="AD198" i="8"/>
  <c r="AD199" i="8"/>
  <c r="AD200" i="8"/>
  <c r="AD150" i="8"/>
  <c r="AD151" i="8"/>
  <c r="AD152" i="8"/>
  <c r="AD131" i="8"/>
  <c r="AD130" i="8"/>
  <c r="AD129" i="8"/>
  <c r="AD149" i="8"/>
  <c r="AD148" i="8"/>
  <c r="AD107" i="8"/>
  <c r="AD106" i="8"/>
  <c r="AD105" i="8"/>
  <c r="W124" i="38"/>
  <c r="P124" i="38" s="1"/>
  <c r="H116" i="39" s="1"/>
  <c r="Q172" i="38"/>
  <c r="I180" i="39" s="1"/>
  <c r="J175" i="38"/>
  <c r="E181" i="39" s="1"/>
  <c r="G187" i="38"/>
  <c r="C199" i="39" s="1"/>
  <c r="H193" i="38"/>
  <c r="U73" i="38"/>
  <c r="K34" i="39" s="1"/>
  <c r="G157" i="38"/>
  <c r="H160" i="38"/>
  <c r="D163" i="39" s="1"/>
  <c r="H163" i="38"/>
  <c r="D165" i="39" s="1"/>
  <c r="H169" i="38"/>
  <c r="D168" i="39" s="1"/>
  <c r="H130" i="38"/>
  <c r="D122" i="39" s="1"/>
  <c r="U133" i="38"/>
  <c r="K123" i="39" s="1"/>
  <c r="H139" i="38"/>
  <c r="D126" i="39" s="1"/>
  <c r="W145" i="38"/>
  <c r="L134" i="39" s="1"/>
  <c r="H184" i="38"/>
  <c r="D188" i="39" s="1"/>
  <c r="W190" i="38"/>
  <c r="L200" i="39" s="1"/>
  <c r="G181" i="38"/>
  <c r="C184" i="39" s="1"/>
  <c r="H166" i="38"/>
  <c r="D167" i="39" s="1"/>
  <c r="H154" i="38"/>
  <c r="D146" i="39" s="1"/>
  <c r="G151" i="38"/>
  <c r="C141" i="39" s="1"/>
  <c r="H148" i="38"/>
  <c r="D137" i="39" s="1"/>
  <c r="Q112" i="38"/>
  <c r="I86" i="39" s="1"/>
  <c r="H106" i="38"/>
  <c r="D79" i="39" s="1"/>
  <c r="H109" i="38"/>
  <c r="D80" i="39" s="1"/>
  <c r="H103" i="38"/>
  <c r="D77" i="39" s="1"/>
  <c r="U100" i="38"/>
  <c r="P100" i="38" s="1"/>
  <c r="H60" i="39" s="1"/>
  <c r="Q94" i="38"/>
  <c r="I56" i="39" s="1"/>
  <c r="G91" i="38"/>
  <c r="C53" i="39" s="1"/>
  <c r="J88" i="38"/>
  <c r="E50" i="39" s="1"/>
  <c r="L82" i="38"/>
  <c r="F48" i="39" s="1"/>
  <c r="W79" i="38"/>
  <c r="L37" i="39" s="1"/>
  <c r="H76" i="38"/>
  <c r="D35" i="39" s="1"/>
  <c r="U67" i="38"/>
  <c r="K29" i="39" s="1"/>
  <c r="U64" i="38"/>
  <c r="K28" i="39" s="1"/>
  <c r="L61" i="38"/>
  <c r="F27" i="39" s="1"/>
  <c r="W58" i="38"/>
  <c r="L26" i="39" s="1"/>
  <c r="Q52" i="38"/>
  <c r="I24" i="39" s="1"/>
  <c r="H46" i="38"/>
  <c r="D22" i="39" s="1"/>
  <c r="L43" i="38"/>
  <c r="F21" i="39" s="1"/>
  <c r="L40" i="38"/>
  <c r="F20" i="39" s="1"/>
  <c r="H13" i="38"/>
  <c r="D10" i="39" s="1"/>
  <c r="G13" i="31"/>
  <c r="L37" i="38"/>
  <c r="F18" i="39" s="1"/>
  <c r="L34" i="38"/>
  <c r="F17" i="39" s="1"/>
  <c r="L25" i="38"/>
  <c r="F14" i="39" s="1"/>
  <c r="J16" i="38"/>
  <c r="E11" i="39" s="1"/>
  <c r="U10" i="38"/>
  <c r="K9" i="39" s="1"/>
  <c r="O141" i="39"/>
  <c r="L110" i="38"/>
  <c r="R80" i="39" s="1"/>
  <c r="H58" i="38"/>
  <c r="D26" i="39" s="1"/>
  <c r="U58" i="38"/>
  <c r="K26" i="39" s="1"/>
  <c r="H121" i="38"/>
  <c r="D108" i="39" s="1"/>
  <c r="L11" i="38"/>
  <c r="R9" i="39" s="1"/>
  <c r="J14" i="38"/>
  <c r="Q10" i="39" s="1"/>
  <c r="W50" i="38"/>
  <c r="X23" i="39" s="1"/>
  <c r="L50" i="38"/>
  <c r="R23" i="39" s="1"/>
  <c r="Q62" i="38"/>
  <c r="P62" i="38" s="1"/>
  <c r="T27" i="39" s="1"/>
  <c r="G104" i="38"/>
  <c r="O77" i="39" s="1"/>
  <c r="L191" i="38"/>
  <c r="R200" i="39" s="1"/>
  <c r="Q86" i="38"/>
  <c r="U49" i="39" s="1"/>
  <c r="Q179" i="38"/>
  <c r="U55" i="38"/>
  <c r="K25" i="39" s="1"/>
  <c r="L67" i="38"/>
  <c r="F29" i="39" s="1"/>
  <c r="L94" i="38"/>
  <c r="F56" i="39" s="1"/>
  <c r="G118" i="38"/>
  <c r="C101" i="39" s="1"/>
  <c r="U22" i="38"/>
  <c r="K13" i="39" s="1"/>
  <c r="U85" i="38"/>
  <c r="H128" i="38"/>
  <c r="P118" i="39" s="1"/>
  <c r="U76" i="38"/>
  <c r="K35" i="39" s="1"/>
  <c r="H112" i="38"/>
  <c r="D86" i="39" s="1"/>
  <c r="H181" i="38"/>
  <c r="D184" i="39" s="1"/>
  <c r="L169" i="38"/>
  <c r="F168" i="39" s="1"/>
  <c r="J169" i="38"/>
  <c r="E168" i="39" s="1"/>
  <c r="J20" i="38"/>
  <c r="Q12" i="39" s="1"/>
  <c r="J83" i="38"/>
  <c r="Q48" i="39" s="1"/>
  <c r="H107" i="38"/>
  <c r="P79" i="39" s="1"/>
  <c r="J71" i="38"/>
  <c r="Q32" i="39" s="1"/>
  <c r="Q71" i="38"/>
  <c r="U32" i="39" s="1"/>
  <c r="U71" i="38"/>
  <c r="W32" i="39" s="1"/>
  <c r="L71" i="38"/>
  <c r="R32" i="39" s="1"/>
  <c r="H71" i="38"/>
  <c r="P32" i="39" s="1"/>
  <c r="G164" i="38"/>
  <c r="O165" i="39" s="1"/>
  <c r="Q164" i="38"/>
  <c r="H164" i="38"/>
  <c r="P165" i="39" s="1"/>
  <c r="J164" i="38"/>
  <c r="Q165" i="39" s="1"/>
  <c r="L131" i="38"/>
  <c r="R122" i="39" s="1"/>
  <c r="U131" i="38"/>
  <c r="H131" i="38"/>
  <c r="P122" i="39" s="1"/>
  <c r="J131" i="38"/>
  <c r="Q122" i="39" s="1"/>
  <c r="Q98" i="38"/>
  <c r="U57" i="39" s="1"/>
  <c r="H98" i="38"/>
  <c r="P57" i="39" s="1"/>
  <c r="U98" i="38"/>
  <c r="J98" i="38"/>
  <c r="Q57" i="39" s="1"/>
  <c r="G98" i="38"/>
  <c r="O57" i="39" s="1"/>
  <c r="H176" i="38"/>
  <c r="P181" i="39" s="1"/>
  <c r="U70" i="38"/>
  <c r="K32" i="39" s="1"/>
  <c r="G193" i="38"/>
  <c r="Q178" i="38"/>
  <c r="J17" i="38"/>
  <c r="Q11" i="39" s="1"/>
  <c r="H32" i="38"/>
  <c r="P16" i="39" s="1"/>
  <c r="J74" i="38"/>
  <c r="Q34" i="39" s="1"/>
  <c r="U46" i="38"/>
  <c r="K22" i="39" s="1"/>
  <c r="H100" i="38"/>
  <c r="D60" i="39" s="1"/>
  <c r="Q34" i="38"/>
  <c r="I17" i="39" s="1"/>
  <c r="J133" i="38"/>
  <c r="E123" i="39" s="1"/>
  <c r="Q133" i="38"/>
  <c r="G133" i="38"/>
  <c r="C123" i="39" s="1"/>
  <c r="H157" i="38"/>
  <c r="D161" i="39" s="1"/>
  <c r="C161" i="39"/>
  <c r="P8" i="38"/>
  <c r="T8" i="39" s="1"/>
  <c r="L38" i="38"/>
  <c r="R18" i="39" s="1"/>
  <c r="H38" i="38"/>
  <c r="P18" i="39" s="1"/>
  <c r="W47" i="38"/>
  <c r="X22" i="39" s="1"/>
  <c r="L59" i="38"/>
  <c r="R26" i="39" s="1"/>
  <c r="H89" i="38"/>
  <c r="P50" i="39" s="1"/>
  <c r="J89" i="38"/>
  <c r="Q50" i="39" s="1"/>
  <c r="Q113" i="38"/>
  <c r="P113" i="38" s="1"/>
  <c r="T86" i="39" s="1"/>
  <c r="H113" i="38"/>
  <c r="P86" i="39" s="1"/>
  <c r="G182" i="38"/>
  <c r="O184" i="39" s="1"/>
  <c r="J122" i="38"/>
  <c r="Q108" i="39" s="1"/>
  <c r="G122" i="38"/>
  <c r="O108" i="39" s="1"/>
  <c r="H158" i="38"/>
  <c r="P161" i="39" s="1"/>
  <c r="H134" i="38"/>
  <c r="P123" i="39" s="1"/>
  <c r="H173" i="38"/>
  <c r="P180" i="39" s="1"/>
  <c r="H7" i="38"/>
  <c r="D8" i="39" s="1"/>
  <c r="P7" i="38"/>
  <c r="H31" i="38"/>
  <c r="D16" i="39" s="1"/>
  <c r="L31" i="38"/>
  <c r="F16" i="39" s="1"/>
  <c r="U109" i="38"/>
  <c r="K80" i="39" s="1"/>
  <c r="Q109" i="38"/>
  <c r="I80" i="39" s="1"/>
  <c r="G109" i="38"/>
  <c r="C80" i="39" s="1"/>
  <c r="J166" i="38"/>
  <c r="E167" i="39" s="1"/>
  <c r="U25" i="38"/>
  <c r="K14" i="39" s="1"/>
  <c r="L10" i="38"/>
  <c r="F9" i="39" s="1"/>
  <c r="J10" i="38"/>
  <c r="E9" i="39" s="1"/>
  <c r="Q145" i="38"/>
  <c r="H127" i="38"/>
  <c r="D118" i="39" s="1"/>
  <c r="Q160" i="38"/>
  <c r="I163" i="39" s="1"/>
  <c r="J124" i="38"/>
  <c r="E116" i="39" s="1"/>
  <c r="D3" i="9"/>
  <c r="P34" i="9"/>
  <c r="G160" i="31"/>
  <c r="U40" i="31"/>
  <c r="L40" i="31"/>
  <c r="H40" i="31"/>
  <c r="G101" i="31"/>
  <c r="U82" i="31"/>
  <c r="L82" i="31"/>
  <c r="J82" i="31"/>
  <c r="H82" i="31"/>
  <c r="G82" i="31"/>
  <c r="H58" i="31"/>
  <c r="G58" i="31"/>
  <c r="L58" i="31"/>
  <c r="W58" i="31"/>
  <c r="U58" i="31"/>
  <c r="Q58" i="31"/>
  <c r="U19" i="31"/>
  <c r="Q19" i="31"/>
  <c r="J19" i="31"/>
  <c r="H19" i="31"/>
  <c r="Q181" i="31"/>
  <c r="P181" i="31" s="1"/>
  <c r="J181" i="31"/>
  <c r="H181" i="31"/>
  <c r="G181" i="31"/>
  <c r="G77" i="31"/>
  <c r="J167" i="31"/>
  <c r="G182" i="31"/>
  <c r="L112" i="31"/>
  <c r="J112" i="31"/>
  <c r="H112" i="31"/>
  <c r="G112" i="31"/>
  <c r="Q112" i="31"/>
  <c r="P112" i="31" s="1"/>
  <c r="J73" i="31"/>
  <c r="H73" i="31"/>
  <c r="U73" i="31"/>
  <c r="Q73" i="31"/>
  <c r="H50" i="31"/>
  <c r="W50" i="31"/>
  <c r="L50" i="31"/>
  <c r="J29" i="31"/>
  <c r="G29" i="31"/>
  <c r="G88" i="31"/>
  <c r="U88" i="31"/>
  <c r="Q88" i="31"/>
  <c r="H115" i="31"/>
  <c r="G115" i="31"/>
  <c r="U115" i="31"/>
  <c r="P115" i="31" s="1"/>
  <c r="Q127" i="31"/>
  <c r="P127" i="31" s="1"/>
  <c r="J127" i="31"/>
  <c r="H127" i="31"/>
  <c r="G127" i="31"/>
  <c r="L178" i="31"/>
  <c r="H178" i="31"/>
  <c r="G178" i="31"/>
  <c r="L83" i="31"/>
  <c r="G110" i="31"/>
  <c r="G161" i="31"/>
  <c r="J173" i="31"/>
  <c r="H173" i="31"/>
  <c r="G173" i="31"/>
  <c r="J98" i="31"/>
  <c r="H98" i="31"/>
  <c r="U98" i="31"/>
  <c r="Q98" i="31"/>
  <c r="G98" i="31"/>
  <c r="Q61" i="31"/>
  <c r="P61" i="31" s="1"/>
  <c r="L61" i="31"/>
  <c r="J61" i="31"/>
  <c r="H61" i="31"/>
  <c r="Q91" i="31"/>
  <c r="P91" i="31" s="1"/>
  <c r="J91" i="31"/>
  <c r="H91" i="31"/>
  <c r="J163" i="31"/>
  <c r="H163" i="31"/>
  <c r="G163" i="31"/>
  <c r="U193" i="31"/>
  <c r="P193" i="31" s="1"/>
  <c r="L193" i="31"/>
  <c r="H193" i="31"/>
  <c r="J193" i="31"/>
  <c r="U16" i="31"/>
  <c r="Q16" i="31"/>
  <c r="H16" i="31"/>
  <c r="L16" i="31"/>
  <c r="U97" i="31"/>
  <c r="Q97" i="31"/>
  <c r="J97" i="31"/>
  <c r="H97" i="31"/>
  <c r="H172" i="31"/>
  <c r="J172" i="31"/>
  <c r="G172" i="31"/>
  <c r="J124" i="31"/>
  <c r="H124" i="31"/>
  <c r="U124" i="31"/>
  <c r="P124" i="31" s="1"/>
  <c r="U52" i="31"/>
  <c r="Q52" i="31"/>
  <c r="P52" i="31"/>
  <c r="H52" i="31"/>
  <c r="J52" i="31"/>
  <c r="L136" i="31"/>
  <c r="H136" i="31"/>
  <c r="J136" i="31"/>
  <c r="U133" i="31"/>
  <c r="P133" i="31" s="1"/>
  <c r="J133" i="31"/>
  <c r="H200" i="31"/>
  <c r="H109" i="31"/>
  <c r="G109" i="31"/>
  <c r="W109" i="31"/>
  <c r="P109" i="31" s="1"/>
  <c r="L109" i="31"/>
  <c r="J109" i="31"/>
  <c r="L38" i="31"/>
  <c r="H128" i="31"/>
  <c r="G128" i="31"/>
  <c r="W64" i="31"/>
  <c r="U64" i="31"/>
  <c r="P64" i="31" s="1"/>
  <c r="L64" i="31"/>
  <c r="J64" i="31"/>
  <c r="H64" i="31"/>
  <c r="W175" i="31"/>
  <c r="U175" i="31"/>
  <c r="J175" i="31"/>
  <c r="H175" i="31"/>
  <c r="G10" i="31"/>
  <c r="U10" i="31"/>
  <c r="Q10" i="31"/>
  <c r="J10" i="31"/>
  <c r="L10" i="31"/>
  <c r="H10" i="31"/>
  <c r="J143" i="31"/>
  <c r="Q143" i="31"/>
  <c r="H107" i="31"/>
  <c r="H59" i="31"/>
  <c r="H116" i="31"/>
  <c r="J179" i="31"/>
  <c r="Q7" i="31"/>
  <c r="P7" i="31"/>
  <c r="J7" i="31"/>
  <c r="G7" i="31"/>
  <c r="Q169" i="31"/>
  <c r="P169" i="31" s="1"/>
  <c r="G169" i="31"/>
  <c r="H11" i="31"/>
  <c r="L62" i="31"/>
  <c r="H188" i="31"/>
  <c r="J104" i="31"/>
  <c r="H104" i="31"/>
  <c r="W43" i="31"/>
  <c r="Q43" i="31"/>
  <c r="L43" i="31"/>
  <c r="W67" i="31"/>
  <c r="U67" i="31"/>
  <c r="P67" i="31"/>
  <c r="Q67" i="31"/>
  <c r="L67" i="31"/>
  <c r="H67" i="31"/>
  <c r="G67" i="31"/>
  <c r="J67" i="31"/>
  <c r="U94" i="31"/>
  <c r="P94" i="31" s="1"/>
  <c r="L94" i="31"/>
  <c r="H94" i="31"/>
  <c r="G94" i="31"/>
  <c r="J94" i="31"/>
  <c r="W121" i="31"/>
  <c r="Q121" i="31"/>
  <c r="G121" i="31"/>
  <c r="Q37" i="31"/>
  <c r="L37" i="31"/>
  <c r="H37" i="31"/>
  <c r="U37" i="31"/>
  <c r="H148" i="31"/>
  <c r="G148" i="31"/>
  <c r="U148" i="31"/>
  <c r="Q148" i="31"/>
  <c r="J148" i="31"/>
  <c r="H118" i="31"/>
  <c r="G118" i="31"/>
  <c r="J130" i="31"/>
  <c r="H130" i="31"/>
  <c r="U130" i="31"/>
  <c r="P130" i="31" s="1"/>
  <c r="G130" i="31"/>
  <c r="W47" i="31"/>
  <c r="G191" i="31"/>
  <c r="U157" i="31"/>
  <c r="H157" i="31"/>
  <c r="Q157" i="31"/>
  <c r="J157" i="31"/>
  <c r="H80" i="31"/>
  <c r="U125" i="31"/>
  <c r="P125" i="31" s="1"/>
  <c r="W55" i="31"/>
  <c r="Q55" i="31"/>
  <c r="L55" i="31"/>
  <c r="J55" i="31"/>
  <c r="H55" i="31"/>
  <c r="G55" i="31"/>
  <c r="U22" i="31"/>
  <c r="Q22" i="31"/>
  <c r="L22" i="31"/>
  <c r="J22" i="31"/>
  <c r="H22" i="31"/>
  <c r="G22" i="31"/>
  <c r="G184" i="31"/>
  <c r="Q184" i="31"/>
  <c r="P184" i="31" s="1"/>
  <c r="H184" i="31"/>
  <c r="J184" i="31"/>
  <c r="U151" i="31"/>
  <c r="P151" i="31" s="1"/>
  <c r="J151" i="31"/>
  <c r="H151" i="31"/>
  <c r="G151" i="31"/>
  <c r="J158" i="31"/>
  <c r="Q8" i="31"/>
  <c r="G8" i="31"/>
  <c r="H31" i="31"/>
  <c r="G31" i="31"/>
  <c r="W31" i="31"/>
  <c r="U31" i="31"/>
  <c r="Q31" i="31"/>
  <c r="J31" i="31"/>
  <c r="U13" i="31"/>
  <c r="Q13" i="31"/>
  <c r="J13" i="31"/>
  <c r="H13" i="31"/>
  <c r="W154" i="31"/>
  <c r="U154" i="31"/>
  <c r="Q154" i="31"/>
  <c r="G154" i="31"/>
  <c r="L17" i="31"/>
  <c r="W65" i="31"/>
  <c r="U65" i="31"/>
  <c r="H65" i="31"/>
  <c r="U74" i="31"/>
  <c r="L46" i="31"/>
  <c r="J46" i="31"/>
  <c r="H46" i="31"/>
  <c r="W46" i="31"/>
  <c r="U46" i="31"/>
  <c r="L76" i="31"/>
  <c r="G76" i="31"/>
  <c r="H76" i="31"/>
  <c r="U76" i="31"/>
  <c r="Q76" i="31"/>
  <c r="J100" i="31"/>
  <c r="H100" i="31"/>
  <c r="G100" i="31"/>
  <c r="U100" i="31"/>
  <c r="P100" i="31" s="1"/>
  <c r="H190" i="31"/>
  <c r="G190" i="31"/>
  <c r="U34" i="31"/>
  <c r="Q34" i="31"/>
  <c r="L34" i="31"/>
  <c r="H34" i="31"/>
  <c r="H142" i="31"/>
  <c r="G142" i="31"/>
  <c r="U142" i="31"/>
  <c r="W142" i="31"/>
  <c r="J142" i="31"/>
  <c r="Q142" i="31"/>
  <c r="J166" i="31"/>
  <c r="H166" i="31"/>
  <c r="G166" i="31"/>
  <c r="Q166" i="31"/>
  <c r="P166" i="31" s="1"/>
  <c r="Q85" i="31"/>
  <c r="U85" i="31"/>
  <c r="H85" i="31"/>
  <c r="G85" i="31"/>
  <c r="Q196" i="31"/>
  <c r="P196" i="31" s="1"/>
  <c r="J196" i="31"/>
  <c r="H196" i="31"/>
  <c r="G196" i="31"/>
  <c r="Q20" i="31"/>
  <c r="U20" i="31"/>
  <c r="G20" i="31"/>
  <c r="W44" i="31"/>
  <c r="L71" i="31"/>
  <c r="J71" i="31"/>
  <c r="H71" i="31"/>
  <c r="U71" i="31"/>
  <c r="P71" i="31" s="1"/>
  <c r="J140" i="31"/>
  <c r="G140" i="31"/>
  <c r="U140" i="31"/>
  <c r="P140" i="31" s="1"/>
  <c r="L140" i="31"/>
  <c r="H197" i="31"/>
  <c r="G152" i="31"/>
  <c r="H49" i="31"/>
  <c r="G49" i="31"/>
  <c r="W49" i="31"/>
  <c r="U49" i="31"/>
  <c r="Q49" i="31"/>
  <c r="L49" i="31"/>
  <c r="J49" i="31"/>
  <c r="P49" i="31"/>
  <c r="J79" i="31"/>
  <c r="H79" i="31"/>
  <c r="W79" i="31"/>
  <c r="U79" i="31"/>
  <c r="L79" i="31"/>
  <c r="G79" i="31"/>
  <c r="Q79" i="31"/>
  <c r="L106" i="31"/>
  <c r="J106" i="31"/>
  <c r="H106" i="31"/>
  <c r="Q106" i="31"/>
  <c r="G106" i="31"/>
  <c r="W106" i="31"/>
  <c r="W145" i="31"/>
  <c r="H145" i="31"/>
  <c r="U145" i="31"/>
  <c r="H199" i="31"/>
  <c r="Q199" i="31"/>
  <c r="W199" i="31"/>
  <c r="L199" i="31"/>
  <c r="P199" i="31"/>
  <c r="H28" i="31"/>
  <c r="W28" i="31"/>
  <c r="U28" i="31"/>
  <c r="L28" i="31"/>
  <c r="J28" i="31"/>
  <c r="G28" i="31"/>
  <c r="P28" i="31"/>
  <c r="G139" i="31"/>
  <c r="U139" i="31"/>
  <c r="P139" i="31" s="1"/>
  <c r="L139" i="31"/>
  <c r="J139" i="31"/>
  <c r="H139" i="31"/>
  <c r="J70" i="31"/>
  <c r="H70" i="31"/>
  <c r="U70" i="31"/>
  <c r="P70" i="31" s="1"/>
  <c r="L70" i="31"/>
  <c r="H202" i="31"/>
  <c r="Q202" i="31"/>
  <c r="P202" i="31" s="1"/>
  <c r="J202" i="31"/>
  <c r="G202" i="31"/>
  <c r="H187" i="31"/>
  <c r="G187" i="31"/>
  <c r="U187" i="31"/>
  <c r="Q187" i="31"/>
  <c r="P187" i="31" s="1"/>
  <c r="U103" i="31"/>
  <c r="P103" i="31" s="1"/>
  <c r="H103" i="31"/>
  <c r="J103" i="31"/>
  <c r="G103" i="31"/>
  <c r="W57" i="39"/>
  <c r="K60" i="39"/>
  <c r="N32" i="27"/>
  <c r="AD173" i="24"/>
  <c r="AD172" i="24"/>
  <c r="AD171" i="24"/>
  <c r="AD170" i="24"/>
  <c r="AD169" i="24"/>
  <c r="AD168" i="24"/>
  <c r="P168" i="24"/>
  <c r="G168" i="24"/>
  <c r="G169" i="24" s="1"/>
  <c r="AD167" i="24"/>
  <c r="AD166" i="24"/>
  <c r="AD165" i="24"/>
  <c r="J165" i="24"/>
  <c r="J166" i="24" s="1"/>
  <c r="AD164" i="24"/>
  <c r="AD163" i="24"/>
  <c r="AD162" i="24"/>
  <c r="J162" i="24"/>
  <c r="J163" i="24" s="1"/>
  <c r="G162" i="24"/>
  <c r="G163" i="24" s="1"/>
  <c r="AD161" i="24"/>
  <c r="AD160" i="24"/>
  <c r="AD159" i="24"/>
  <c r="P159" i="24"/>
  <c r="G159" i="24"/>
  <c r="AD158" i="24"/>
  <c r="AD157" i="24"/>
  <c r="AD156" i="24"/>
  <c r="P156" i="24"/>
  <c r="AD155" i="24"/>
  <c r="AD154" i="24"/>
  <c r="AD153" i="24"/>
  <c r="P153" i="24"/>
  <c r="H153" i="24"/>
  <c r="J153" i="24" s="1"/>
  <c r="AD152" i="24"/>
  <c r="AD151" i="24"/>
  <c r="AD150" i="24"/>
  <c r="P150" i="24"/>
  <c r="G150" i="24"/>
  <c r="G151" i="24" s="1"/>
  <c r="AD149" i="24"/>
  <c r="AD148" i="24"/>
  <c r="AD147" i="24"/>
  <c r="AD146" i="24"/>
  <c r="AD145" i="24"/>
  <c r="AD144" i="24"/>
  <c r="AD143" i="24"/>
  <c r="AD142" i="24"/>
  <c r="AD141" i="24"/>
  <c r="Q141" i="24"/>
  <c r="Q142" i="24" s="1"/>
  <c r="L141" i="24"/>
  <c r="J141" i="24"/>
  <c r="G141" i="24" s="1"/>
  <c r="G142" i="24" s="1"/>
  <c r="AD140" i="24"/>
  <c r="AD139" i="24"/>
  <c r="AD138" i="24"/>
  <c r="P138" i="24"/>
  <c r="AD137" i="24"/>
  <c r="AD136" i="24"/>
  <c r="AD135" i="24"/>
  <c r="P135" i="24"/>
  <c r="J135" i="24"/>
  <c r="J137" i="24" s="1"/>
  <c r="AD134" i="24"/>
  <c r="AD133" i="24"/>
  <c r="AD132" i="24"/>
  <c r="W132" i="24"/>
  <c r="W133" i="24" s="1"/>
  <c r="U132" i="24"/>
  <c r="U133" i="24" s="1"/>
  <c r="J132" i="24"/>
  <c r="G132" i="24"/>
  <c r="G133" i="24" s="1"/>
  <c r="AD131" i="24"/>
  <c r="AD130" i="24"/>
  <c r="AD129" i="24"/>
  <c r="Q129" i="24"/>
  <c r="P129" i="24"/>
  <c r="J129" i="24"/>
  <c r="J131" i="24" s="1"/>
  <c r="AD128" i="24"/>
  <c r="AD127" i="24"/>
  <c r="AD126" i="24"/>
  <c r="P126" i="24"/>
  <c r="H126" i="24"/>
  <c r="J126" i="24"/>
  <c r="J127" i="24" s="1"/>
  <c r="AD125" i="24"/>
  <c r="AD124" i="24"/>
  <c r="AD123" i="24"/>
  <c r="J123" i="24"/>
  <c r="AD122" i="24"/>
  <c r="AD121" i="24"/>
  <c r="AD120" i="24"/>
  <c r="Q120" i="24"/>
  <c r="P120" i="24" s="1"/>
  <c r="G120" i="24"/>
  <c r="G121" i="24" s="1"/>
  <c r="AD119" i="24"/>
  <c r="AD118" i="24"/>
  <c r="AD117" i="24"/>
  <c r="P117" i="24"/>
  <c r="AD116" i="24"/>
  <c r="AD115" i="24"/>
  <c r="AD114" i="24"/>
  <c r="P114" i="24"/>
  <c r="J114" i="24"/>
  <c r="J115" i="24" s="1"/>
  <c r="AD113" i="24"/>
  <c r="AD112" i="24"/>
  <c r="AD111" i="24"/>
  <c r="P111" i="24"/>
  <c r="J111" i="24"/>
  <c r="J113" i="24" s="1"/>
  <c r="AD110" i="24"/>
  <c r="AD109" i="24"/>
  <c r="AD108" i="24"/>
  <c r="P108" i="24"/>
  <c r="G108" i="24"/>
  <c r="G110" i="24" s="1"/>
  <c r="AD107" i="24"/>
  <c r="AD106" i="24"/>
  <c r="AD105" i="24"/>
  <c r="P105" i="24"/>
  <c r="J105" i="24"/>
  <c r="J106" i="24" s="1"/>
  <c r="AD104" i="24"/>
  <c r="AD103" i="24"/>
  <c r="AD102" i="24"/>
  <c r="W102" i="24"/>
  <c r="Q102" i="24"/>
  <c r="G102" i="24"/>
  <c r="G103" i="24" s="1"/>
  <c r="AD101" i="24"/>
  <c r="AD100" i="24"/>
  <c r="AD99" i="24"/>
  <c r="P99" i="24"/>
  <c r="AD98" i="24"/>
  <c r="AD97" i="24"/>
  <c r="AD96" i="24"/>
  <c r="P96" i="24"/>
  <c r="G96" i="24"/>
  <c r="G97" i="24" s="1"/>
  <c r="AD95" i="24"/>
  <c r="AD94" i="24"/>
  <c r="AD93" i="24"/>
  <c r="P93" i="24"/>
  <c r="L93" i="24"/>
  <c r="L94" i="24" s="1"/>
  <c r="AD92" i="24"/>
  <c r="AD91" i="24"/>
  <c r="AD90" i="24"/>
  <c r="P90" i="24"/>
  <c r="G90" i="24"/>
  <c r="G92" i="24" s="1"/>
  <c r="AD89" i="24"/>
  <c r="U89" i="24"/>
  <c r="Q89" i="24"/>
  <c r="G89" i="24"/>
  <c r="AD88" i="24"/>
  <c r="AD87" i="24"/>
  <c r="P87" i="24"/>
  <c r="AD86" i="24"/>
  <c r="AD85" i="24"/>
  <c r="AD84" i="24"/>
  <c r="P84" i="24"/>
  <c r="J84" i="24"/>
  <c r="J85" i="24" s="1"/>
  <c r="AD83" i="24"/>
  <c r="AD82" i="24"/>
  <c r="AD81" i="24"/>
  <c r="P81" i="24"/>
  <c r="P82" i="24" s="1"/>
  <c r="G81" i="24"/>
  <c r="AD80" i="24"/>
  <c r="AD79" i="24"/>
  <c r="AD78" i="24"/>
  <c r="Q78" i="24"/>
  <c r="Q80" i="24" s="1"/>
  <c r="G78" i="24"/>
  <c r="G80" i="24" s="1"/>
  <c r="AD77" i="24"/>
  <c r="AD76" i="24"/>
  <c r="AD75" i="24"/>
  <c r="Q75" i="24"/>
  <c r="P75" i="24" s="1"/>
  <c r="L75" i="24"/>
  <c r="L76" i="24" s="1"/>
  <c r="AD74" i="24"/>
  <c r="AD73" i="24"/>
  <c r="AD72" i="24"/>
  <c r="P72" i="24"/>
  <c r="G72" i="24"/>
  <c r="G74" i="24" s="1"/>
  <c r="AD71" i="24"/>
  <c r="AD70" i="24"/>
  <c r="AD69" i="24"/>
  <c r="P69" i="24"/>
  <c r="AD68" i="24"/>
  <c r="AD67" i="24"/>
  <c r="AD66" i="24"/>
  <c r="P66" i="24"/>
  <c r="G66" i="24"/>
  <c r="G67" i="24" s="1"/>
  <c r="AD65" i="24"/>
  <c r="AD64" i="24"/>
  <c r="AD63" i="24"/>
  <c r="P63" i="24"/>
  <c r="G63" i="24"/>
  <c r="G64" i="24" s="1"/>
  <c r="AD62" i="24"/>
  <c r="AD61" i="24"/>
  <c r="AD60" i="24"/>
  <c r="P60" i="24"/>
  <c r="AD59" i="24"/>
  <c r="AD58" i="24"/>
  <c r="AD57" i="24"/>
  <c r="P57" i="24"/>
  <c r="P58" i="24" s="1"/>
  <c r="AD56" i="24"/>
  <c r="AD55" i="24"/>
  <c r="AD54" i="24"/>
  <c r="P54" i="24"/>
  <c r="P56" i="24" s="1"/>
  <c r="G54" i="24"/>
  <c r="G55" i="24" s="1"/>
  <c r="AD53" i="24"/>
  <c r="AD52" i="24"/>
  <c r="AD51" i="24"/>
  <c r="J51" i="24"/>
  <c r="J53" i="24" s="1"/>
  <c r="AD50" i="24"/>
  <c r="AD49" i="24"/>
  <c r="AD48" i="24"/>
  <c r="P48" i="24"/>
  <c r="J48" i="24"/>
  <c r="J49" i="24" s="1"/>
  <c r="AD47" i="24"/>
  <c r="AD46" i="24"/>
  <c r="AD45" i="24"/>
  <c r="Q45" i="24"/>
  <c r="P45" i="24" s="1"/>
  <c r="G45" i="24"/>
  <c r="G46" i="24" s="1"/>
  <c r="AD44" i="24"/>
  <c r="AD43" i="24"/>
  <c r="AD42" i="24"/>
  <c r="P42" i="24"/>
  <c r="P43" i="24" s="1"/>
  <c r="J42" i="24"/>
  <c r="J44" i="24" s="1"/>
  <c r="H42" i="24"/>
  <c r="AD41" i="24"/>
  <c r="AD40" i="24"/>
  <c r="U40" i="24"/>
  <c r="L40" i="24"/>
  <c r="H40" i="24"/>
  <c r="AD39" i="24"/>
  <c r="P39" i="24"/>
  <c r="P40" i="24" s="1"/>
  <c r="G39" i="24"/>
  <c r="G40" i="24" s="1"/>
  <c r="AD38" i="24"/>
  <c r="AD37" i="24"/>
  <c r="AD36" i="24"/>
  <c r="P36" i="24"/>
  <c r="J36" i="24"/>
  <c r="J37" i="24" s="1"/>
  <c r="AD35" i="24"/>
  <c r="AD34" i="24"/>
  <c r="AD33" i="24"/>
  <c r="P33" i="24"/>
  <c r="P34" i="24" s="1"/>
  <c r="J33" i="24"/>
  <c r="AD32" i="24"/>
  <c r="AD31" i="24"/>
  <c r="AD30" i="24"/>
  <c r="AB30" i="24"/>
  <c r="P30" i="24"/>
  <c r="AD29" i="24"/>
  <c r="AD28" i="24"/>
  <c r="AD27" i="24"/>
  <c r="P27" i="24"/>
  <c r="G27" i="24"/>
  <c r="AD26" i="24"/>
  <c r="AD25" i="24"/>
  <c r="AD24" i="24"/>
  <c r="P24" i="24"/>
  <c r="G24" i="24"/>
  <c r="AD23" i="24"/>
  <c r="AD22" i="24"/>
  <c r="AD21" i="24"/>
  <c r="P21" i="24"/>
  <c r="AD20" i="24"/>
  <c r="AD19" i="24"/>
  <c r="AD18" i="24"/>
  <c r="P18" i="24"/>
  <c r="G18" i="24"/>
  <c r="G20" i="24" s="1"/>
  <c r="AD17" i="24"/>
  <c r="AD16" i="24"/>
  <c r="AD15" i="24"/>
  <c r="P15" i="24"/>
  <c r="AD14" i="24"/>
  <c r="AD13" i="24"/>
  <c r="AD12" i="24"/>
  <c r="P12" i="24"/>
  <c r="AD11" i="24"/>
  <c r="AD10" i="24"/>
  <c r="AD9" i="24"/>
  <c r="P9" i="24"/>
  <c r="G9" i="24"/>
  <c r="G10" i="24" s="1"/>
  <c r="AD8" i="24"/>
  <c r="AD7" i="24"/>
  <c r="AD6" i="24"/>
  <c r="P6" i="24"/>
  <c r="P102" i="24"/>
  <c r="G123" i="24"/>
  <c r="G124" i="24" s="1"/>
  <c r="E24" i="19"/>
  <c r="C24" i="19"/>
  <c r="K23" i="19"/>
  <c r="K22" i="19"/>
  <c r="K21" i="19"/>
  <c r="E20" i="19"/>
  <c r="K19" i="19"/>
  <c r="H19" i="19"/>
  <c r="E19" i="19"/>
  <c r="D19" i="19"/>
  <c r="K18" i="19"/>
  <c r="K17" i="19"/>
  <c r="K16" i="19"/>
  <c r="J16" i="19"/>
  <c r="I16" i="19"/>
  <c r="H16" i="19"/>
  <c r="E16" i="19"/>
  <c r="C16" i="19"/>
  <c r="K15" i="19"/>
  <c r="I15" i="19"/>
  <c r="C15" i="19"/>
  <c r="K14" i="19"/>
  <c r="C14" i="19"/>
  <c r="K13" i="19"/>
  <c r="K12" i="19"/>
  <c r="H12" i="19"/>
  <c r="E12" i="19"/>
  <c r="K11" i="19"/>
  <c r="I11" i="19"/>
  <c r="H11" i="19"/>
  <c r="K10" i="19"/>
  <c r="H10" i="19"/>
  <c r="K9" i="19"/>
  <c r="K8" i="19"/>
  <c r="H7" i="19"/>
  <c r="K6" i="19"/>
  <c r="E6" i="19"/>
  <c r="D6" i="19"/>
  <c r="C6" i="19"/>
  <c r="K4" i="19"/>
  <c r="AD179" i="8"/>
  <c r="AD178" i="8"/>
  <c r="AD177" i="8"/>
  <c r="AD176" i="8"/>
  <c r="AD175" i="8"/>
  <c r="AD174" i="8"/>
  <c r="AD173" i="8"/>
  <c r="AD172" i="8"/>
  <c r="AD171" i="8"/>
  <c r="AD170" i="8"/>
  <c r="AD169" i="8"/>
  <c r="AD168" i="8"/>
  <c r="AD167" i="8"/>
  <c r="AD166" i="8"/>
  <c r="AD165" i="8"/>
  <c r="AD161" i="8"/>
  <c r="AD160" i="8"/>
  <c r="AD159" i="8"/>
  <c r="AD158" i="8"/>
  <c r="AD157" i="8"/>
  <c r="AD156" i="8"/>
  <c r="AD155" i="8"/>
  <c r="AD154" i="8"/>
  <c r="AD153" i="8"/>
  <c r="AD146" i="8"/>
  <c r="AD145" i="8"/>
  <c r="AD144" i="8"/>
  <c r="AD143" i="8"/>
  <c r="AD142" i="8"/>
  <c r="AD141" i="8"/>
  <c r="AD140" i="8"/>
  <c r="AD139" i="8"/>
  <c r="AD138" i="8"/>
  <c r="AD137" i="8"/>
  <c r="AD136" i="8"/>
  <c r="AD135" i="8"/>
  <c r="AD134" i="8"/>
  <c r="AD133" i="8"/>
  <c r="AD132" i="8"/>
  <c r="AD128" i="8"/>
  <c r="AD127" i="8"/>
  <c r="AD126" i="8"/>
  <c r="AD125" i="8"/>
  <c r="AD124" i="8"/>
  <c r="AD123" i="8"/>
  <c r="AD119" i="8"/>
  <c r="AD118" i="8"/>
  <c r="AD117" i="8"/>
  <c r="AD116" i="8"/>
  <c r="AD115" i="8"/>
  <c r="AD114" i="8"/>
  <c r="AD113" i="8"/>
  <c r="AD112" i="8"/>
  <c r="AD111" i="8"/>
  <c r="AD110" i="8"/>
  <c r="AD109" i="8"/>
  <c r="AD108" i="8"/>
  <c r="AD104" i="8"/>
  <c r="AD103" i="8"/>
  <c r="AD102" i="8"/>
  <c r="AD101" i="8"/>
  <c r="AD100" i="8"/>
  <c r="AD99" i="8"/>
  <c r="AD98" i="8"/>
  <c r="AD97" i="8"/>
  <c r="AD96" i="8"/>
  <c r="AD95" i="8"/>
  <c r="AD94" i="8"/>
  <c r="AD93" i="8"/>
  <c r="AD88" i="8"/>
  <c r="AD87" i="8"/>
  <c r="AD86" i="8"/>
  <c r="AD85" i="8"/>
  <c r="AD84" i="8"/>
  <c r="AD83" i="8"/>
  <c r="AD82" i="8"/>
  <c r="AD81" i="8"/>
  <c r="AD80" i="8"/>
  <c r="AD79" i="8"/>
  <c r="AD78" i="8"/>
  <c r="AD77" i="8"/>
  <c r="AD76" i="8"/>
  <c r="AD75" i="8"/>
  <c r="AD74" i="8"/>
  <c r="AD73" i="8"/>
  <c r="AD72" i="8"/>
  <c r="AD71" i="8"/>
  <c r="AD70" i="8"/>
  <c r="AD69" i="8"/>
  <c r="AD68" i="8"/>
  <c r="AD67" i="8"/>
  <c r="AD66" i="8"/>
  <c r="AD56" i="8"/>
  <c r="AD55" i="8"/>
  <c r="AD54" i="8"/>
  <c r="AD53" i="8"/>
  <c r="AD52" i="8"/>
  <c r="AD51" i="8"/>
  <c r="AD50" i="8"/>
  <c r="AD49" i="8"/>
  <c r="AD48" i="8"/>
  <c r="AD47" i="8"/>
  <c r="AD46" i="8"/>
  <c r="AD45" i="8"/>
  <c r="AD44" i="8"/>
  <c r="AD43" i="8"/>
  <c r="AD42" i="8"/>
  <c r="AD35" i="8"/>
  <c r="AD34" i="8"/>
  <c r="AD33" i="8"/>
  <c r="AD32" i="8"/>
  <c r="AD31" i="8"/>
  <c r="AD30" i="8"/>
  <c r="AD29" i="8"/>
  <c r="AD28" i="8"/>
  <c r="AD27" i="8"/>
  <c r="AD26" i="8"/>
  <c r="AD25" i="8"/>
  <c r="AD24" i="8"/>
  <c r="AD23" i="8"/>
  <c r="AD22" i="8"/>
  <c r="AD21" i="8"/>
  <c r="AD8" i="8"/>
  <c r="AD7" i="8"/>
  <c r="AD6" i="8"/>
  <c r="H98" i="24"/>
  <c r="U98" i="24"/>
  <c r="P98" i="24" s="1"/>
  <c r="J98" i="24"/>
  <c r="U97" i="24"/>
  <c r="P97" i="24" s="1"/>
  <c r="J97" i="24"/>
  <c r="H97" i="24"/>
  <c r="G145" i="24"/>
  <c r="G146" i="24"/>
  <c r="L61" i="24"/>
  <c r="J61" i="24"/>
  <c r="H61" i="24"/>
  <c r="G61" i="24"/>
  <c r="Q61" i="24"/>
  <c r="P61" i="24" s="1"/>
  <c r="J122" i="24"/>
  <c r="H122" i="24"/>
  <c r="U71" i="24"/>
  <c r="P71" i="24" s="1"/>
  <c r="L71" i="24"/>
  <c r="J71" i="24"/>
  <c r="H71" i="24"/>
  <c r="G71" i="24"/>
  <c r="U64" i="24"/>
  <c r="P64" i="24" s="1"/>
  <c r="L64" i="24"/>
  <c r="J64" i="24"/>
  <c r="H64" i="24"/>
  <c r="W64" i="24"/>
  <c r="H154" i="24"/>
  <c r="G154" i="24"/>
  <c r="Q154" i="24"/>
  <c r="P154" i="24" s="1"/>
  <c r="J149" i="24"/>
  <c r="H169" i="24"/>
  <c r="U169" i="24"/>
  <c r="P169" i="24" s="1"/>
  <c r="L169" i="24"/>
  <c r="J169" i="24"/>
  <c r="H23" i="24"/>
  <c r="H113" i="24"/>
  <c r="Q10" i="24"/>
  <c r="U10" i="24"/>
  <c r="L10" i="24"/>
  <c r="H10" i="24"/>
  <c r="J10" i="24"/>
  <c r="H160" i="24"/>
  <c r="G160" i="24"/>
  <c r="W160" i="24"/>
  <c r="U160" i="24"/>
  <c r="J160" i="24"/>
  <c r="H20" i="24"/>
  <c r="J20" i="24"/>
  <c r="U20" i="24"/>
  <c r="Q20" i="24"/>
  <c r="J83" i="24"/>
  <c r="U83" i="24"/>
  <c r="G83" i="24"/>
  <c r="L125" i="24"/>
  <c r="H125" i="24"/>
  <c r="U16" i="24"/>
  <c r="Q16" i="24"/>
  <c r="H16" i="24"/>
  <c r="L16" i="24"/>
  <c r="J16" i="24"/>
  <c r="G16" i="24"/>
  <c r="H43" i="24"/>
  <c r="W43" i="24"/>
  <c r="Q43" i="24"/>
  <c r="J43" i="24"/>
  <c r="L43" i="24"/>
  <c r="Q67" i="24"/>
  <c r="P67" i="24"/>
  <c r="L67" i="24"/>
  <c r="J67" i="24"/>
  <c r="W67" i="24"/>
  <c r="U67" i="24"/>
  <c r="U94" i="24"/>
  <c r="P94" i="24" s="1"/>
  <c r="J94" i="24"/>
  <c r="H94" i="24"/>
  <c r="G94" i="24"/>
  <c r="Q118" i="24"/>
  <c r="G118" i="24"/>
  <c r="W118" i="24"/>
  <c r="U136" i="24"/>
  <c r="Q136" i="24"/>
  <c r="H136" i="24"/>
  <c r="G136" i="24"/>
  <c r="H115" i="24"/>
  <c r="G115" i="24"/>
  <c r="Q157" i="24"/>
  <c r="P157" i="24" s="1"/>
  <c r="J157" i="24"/>
  <c r="H157" i="24"/>
  <c r="G157" i="24"/>
  <c r="Q31" i="24"/>
  <c r="H31" i="24"/>
  <c r="J31" i="24"/>
  <c r="G31" i="24"/>
  <c r="U31" i="24"/>
  <c r="W31" i="24"/>
  <c r="G17" i="24"/>
  <c r="Q17" i="24"/>
  <c r="J17" i="24"/>
  <c r="U53" i="24"/>
  <c r="P53" i="24"/>
  <c r="Q53" i="24"/>
  <c r="H53" i="24"/>
  <c r="U143" i="24"/>
  <c r="Q86" i="24"/>
  <c r="U19" i="24"/>
  <c r="Q19" i="24"/>
  <c r="J19" i="24"/>
  <c r="H19" i="24"/>
  <c r="J46" i="24"/>
  <c r="H46" i="24"/>
  <c r="U46" i="24"/>
  <c r="L46" i="24"/>
  <c r="U76" i="24"/>
  <c r="J76" i="24"/>
  <c r="H76" i="24"/>
  <c r="G76" i="24"/>
  <c r="J100" i="24"/>
  <c r="H100" i="24"/>
  <c r="G100" i="24"/>
  <c r="U100" i="24"/>
  <c r="P100" i="24" s="1"/>
  <c r="H166" i="24"/>
  <c r="G166" i="24"/>
  <c r="W130" i="24"/>
  <c r="U130" i="24"/>
  <c r="Q130" i="24"/>
  <c r="H130" i="24"/>
  <c r="G130" i="24"/>
  <c r="Q151" i="24"/>
  <c r="P151" i="24" s="1"/>
  <c r="J151" i="24"/>
  <c r="H151" i="24"/>
  <c r="W131" i="24"/>
  <c r="Q131" i="24"/>
  <c r="U37" i="24"/>
  <c r="Q37" i="24"/>
  <c r="H37" i="24"/>
  <c r="G37" i="24"/>
  <c r="G148" i="24"/>
  <c r="J148" i="24"/>
  <c r="H148" i="24"/>
  <c r="L59" i="24"/>
  <c r="W59" i="24"/>
  <c r="U13" i="24"/>
  <c r="Q13" i="24"/>
  <c r="J13" i="24"/>
  <c r="H13" i="24"/>
  <c r="Q73" i="24"/>
  <c r="J73" i="24"/>
  <c r="H73" i="24"/>
  <c r="U73" i="24"/>
  <c r="Q14" i="24"/>
  <c r="Q11" i="24"/>
  <c r="L50" i="24"/>
  <c r="H50" i="24"/>
  <c r="W50" i="24"/>
  <c r="U50" i="24"/>
  <c r="W173" i="24"/>
  <c r="H173" i="24"/>
  <c r="L104" i="24"/>
  <c r="W104" i="24"/>
  <c r="U80" i="24"/>
  <c r="J80" i="24"/>
  <c r="G22" i="24"/>
  <c r="U22" i="24"/>
  <c r="Q22" i="24"/>
  <c r="P22" i="24"/>
  <c r="H22" i="24"/>
  <c r="L22" i="24"/>
  <c r="J22" i="24"/>
  <c r="P49" i="24"/>
  <c r="L49" i="24"/>
  <c r="H49" i="24"/>
  <c r="G49" i="24"/>
  <c r="W49" i="24"/>
  <c r="U49" i="24"/>
  <c r="Q49" i="24"/>
  <c r="W79" i="24"/>
  <c r="U79" i="24"/>
  <c r="L79" i="24"/>
  <c r="J79" i="24"/>
  <c r="H79" i="24"/>
  <c r="L103" i="24"/>
  <c r="J103" i="24"/>
  <c r="H103" i="24"/>
  <c r="Q103" i="24"/>
  <c r="W103" i="24"/>
  <c r="J133" i="24"/>
  <c r="H133" i="24"/>
  <c r="W172" i="24"/>
  <c r="P172" i="24"/>
  <c r="L172" i="24"/>
  <c r="J172" i="24"/>
  <c r="H172" i="24"/>
  <c r="G172" i="24"/>
  <c r="L127" i="24"/>
  <c r="H127" i="24"/>
  <c r="G127" i="24"/>
  <c r="U127" i="24"/>
  <c r="P127" i="24" s="1"/>
  <c r="J70" i="24"/>
  <c r="H70" i="24"/>
  <c r="G70" i="24"/>
  <c r="U70" i="24"/>
  <c r="P70" i="24" s="1"/>
  <c r="L70" i="24"/>
  <c r="L62" i="24"/>
  <c r="H62" i="24"/>
  <c r="J152" i="24"/>
  <c r="Q152" i="24"/>
  <c r="P152" i="24" s="1"/>
  <c r="H91" i="24"/>
  <c r="G91" i="24"/>
  <c r="Q91" i="24"/>
  <c r="P91" i="24" s="1"/>
  <c r="J91" i="24"/>
  <c r="U128" i="24"/>
  <c r="P128" i="24" s="1"/>
  <c r="L128" i="24"/>
  <c r="G128" i="24"/>
  <c r="H128" i="24"/>
  <c r="G107" i="24"/>
  <c r="U107" i="24"/>
  <c r="Q107" i="24"/>
  <c r="L107" i="24"/>
  <c r="H107" i="24"/>
  <c r="J107" i="24"/>
  <c r="Q38" i="24"/>
  <c r="G38" i="24"/>
  <c r="P41" i="24"/>
  <c r="H47" i="24"/>
  <c r="G167" i="24"/>
  <c r="U101" i="24"/>
  <c r="P101" i="24" s="1"/>
  <c r="H101" i="24"/>
  <c r="U74" i="24"/>
  <c r="J74" i="24"/>
  <c r="H158" i="24"/>
  <c r="G158" i="24"/>
  <c r="Q158" i="24"/>
  <c r="P158" i="24" s="1"/>
  <c r="J158" i="24"/>
  <c r="P52" i="24"/>
  <c r="H52" i="24"/>
  <c r="Q52" i="24"/>
  <c r="U52" i="24"/>
  <c r="J52" i="24"/>
  <c r="Q109" i="24"/>
  <c r="P109" i="24" s="1"/>
  <c r="L109" i="24"/>
  <c r="J109" i="24"/>
  <c r="H109" i="24"/>
  <c r="H142" i="24"/>
  <c r="U142" i="24"/>
  <c r="L142" i="24"/>
  <c r="L124" i="24"/>
  <c r="H124" i="24"/>
  <c r="J124" i="24"/>
  <c r="U28" i="24"/>
  <c r="L28" i="24"/>
  <c r="J28" i="24"/>
  <c r="H28" i="24"/>
  <c r="W28" i="24"/>
  <c r="G28" i="24"/>
  <c r="P28" i="24"/>
  <c r="W55" i="24"/>
  <c r="Q55" i="24"/>
  <c r="L55" i="24"/>
  <c r="J55" i="24"/>
  <c r="H55" i="24"/>
  <c r="U82" i="24"/>
  <c r="L82" i="24"/>
  <c r="J82" i="24"/>
  <c r="H82" i="24"/>
  <c r="G82" i="24"/>
  <c r="U106" i="24"/>
  <c r="Q106" i="24"/>
  <c r="L106" i="24"/>
  <c r="H106" i="24"/>
  <c r="G106" i="24"/>
  <c r="H85" i="24"/>
  <c r="G85" i="24"/>
  <c r="U85" i="24"/>
  <c r="Q85" i="24"/>
  <c r="W139" i="24"/>
  <c r="U139" i="24"/>
  <c r="Q139" i="24"/>
  <c r="G139" i="24"/>
  <c r="J68" i="24"/>
  <c r="Q44" i="24"/>
  <c r="G155" i="24"/>
  <c r="W29" i="24"/>
  <c r="L29" i="24"/>
  <c r="H29" i="24"/>
  <c r="P29" i="24"/>
  <c r="W65" i="24"/>
  <c r="U65" i="24"/>
  <c r="L65" i="24"/>
  <c r="J65" i="24"/>
  <c r="H65" i="24"/>
  <c r="H77" i="24"/>
  <c r="U32" i="24"/>
  <c r="J32" i="24"/>
  <c r="H32" i="24"/>
  <c r="G32" i="24"/>
  <c r="Q34" i="24"/>
  <c r="H34" i="24"/>
  <c r="G34" i="24"/>
  <c r="U34" i="24"/>
  <c r="U58" i="24"/>
  <c r="Q58" i="24"/>
  <c r="L58" i="24"/>
  <c r="J58" i="24"/>
  <c r="H58" i="24"/>
  <c r="W58" i="24"/>
  <c r="G58" i="24"/>
  <c r="U88" i="24"/>
  <c r="Q88" i="24"/>
  <c r="G88" i="24"/>
  <c r="G112" i="24"/>
  <c r="U112" i="24"/>
  <c r="P112" i="24" s="1"/>
  <c r="H112" i="24"/>
  <c r="J121" i="24"/>
  <c r="H121" i="24"/>
  <c r="L163" i="24"/>
  <c r="H163" i="24"/>
  <c r="Q7" i="24"/>
  <c r="G7" i="24"/>
  <c r="J7" i="24"/>
  <c r="P7" i="24"/>
  <c r="Q8" i="24"/>
  <c r="J8" i="24"/>
  <c r="P8" i="24"/>
  <c r="L34" i="9"/>
  <c r="G141" i="16"/>
  <c r="D141" i="16"/>
  <c r="D143" i="16" s="1"/>
  <c r="N121" i="16"/>
  <c r="G121" i="16"/>
  <c r="G115" i="16"/>
  <c r="D111" i="16"/>
  <c r="G109" i="16"/>
  <c r="D100" i="16"/>
  <c r="D101" i="16" s="1"/>
  <c r="G97" i="16"/>
  <c r="R88" i="16"/>
  <c r="N88" i="16"/>
  <c r="D88" i="16"/>
  <c r="G80" i="16"/>
  <c r="D80" i="16"/>
  <c r="D81" i="16" s="1"/>
  <c r="M72" i="16"/>
  <c r="M69" i="16"/>
  <c r="M63" i="16"/>
  <c r="D63" i="16"/>
  <c r="D64" i="16" s="1"/>
  <c r="M60" i="16"/>
  <c r="M57" i="16"/>
  <c r="Y48" i="16"/>
  <c r="N48" i="16"/>
  <c r="Y45" i="16"/>
  <c r="M45" i="16"/>
  <c r="M40" i="16"/>
  <c r="M41" i="16" s="1"/>
  <c r="G40" i="16"/>
  <c r="M37" i="16"/>
  <c r="Z34" i="16"/>
  <c r="M34" i="16"/>
  <c r="N31" i="16"/>
  <c r="M31" i="16" s="1"/>
  <c r="M28" i="16"/>
  <c r="G28" i="16"/>
  <c r="D28" i="16"/>
  <c r="M25" i="16"/>
  <c r="R22" i="16"/>
  <c r="M22" i="16" s="1"/>
  <c r="G22" i="16"/>
  <c r="M19" i="16"/>
  <c r="M16" i="16"/>
  <c r="M13" i="16"/>
  <c r="D13" i="16"/>
  <c r="D14" i="16" s="1"/>
  <c r="M10" i="16"/>
  <c r="G10" i="16"/>
  <c r="AD44" i="13"/>
  <c r="AC44" i="13"/>
  <c r="AB44" i="13"/>
  <c r="AA44" i="13"/>
  <c r="R44" i="13"/>
  <c r="Q44" i="13"/>
  <c r="P44" i="13"/>
  <c r="O44" i="13"/>
  <c r="AD43" i="13"/>
  <c r="AC43" i="13"/>
  <c r="AB43" i="13"/>
  <c r="AA43" i="13"/>
  <c r="R43" i="13"/>
  <c r="Q43" i="13"/>
  <c r="P43" i="13"/>
  <c r="O43" i="13"/>
  <c r="AD42" i="13"/>
  <c r="AC42" i="13"/>
  <c r="AB42" i="13"/>
  <c r="AA42" i="13"/>
  <c r="R42" i="13"/>
  <c r="Q42" i="13"/>
  <c r="P42" i="13"/>
  <c r="O42" i="13"/>
  <c r="AD41" i="13"/>
  <c r="AC41" i="13"/>
  <c r="AB41" i="13"/>
  <c r="AA41" i="13"/>
  <c r="R41" i="13"/>
  <c r="Q41" i="13"/>
  <c r="P41" i="13"/>
  <c r="O41" i="13"/>
  <c r="AD40" i="13"/>
  <c r="AC40" i="13"/>
  <c r="AB40" i="13"/>
  <c r="AA40" i="13"/>
  <c r="R40" i="13"/>
  <c r="Q40" i="13"/>
  <c r="P40" i="13"/>
  <c r="O40" i="13"/>
  <c r="AD39" i="13"/>
  <c r="AC39" i="13"/>
  <c r="AB39" i="13"/>
  <c r="AA39" i="13"/>
  <c r="R39" i="13"/>
  <c r="Q39" i="13"/>
  <c r="P39" i="13"/>
  <c r="O39" i="13"/>
  <c r="AD38" i="13"/>
  <c r="AC38" i="13"/>
  <c r="AB38" i="13"/>
  <c r="AA38" i="13"/>
  <c r="R38" i="13"/>
  <c r="Q38" i="13"/>
  <c r="P38" i="13"/>
  <c r="O38" i="13"/>
  <c r="AD37" i="13"/>
  <c r="AC37" i="13"/>
  <c r="AB37" i="13"/>
  <c r="AA37" i="13"/>
  <c r="R37" i="13"/>
  <c r="Q37" i="13"/>
  <c r="P37" i="13"/>
  <c r="O37" i="13"/>
  <c r="AD36" i="13"/>
  <c r="AC36" i="13"/>
  <c r="AB36" i="13"/>
  <c r="AA36" i="13"/>
  <c r="R36" i="13"/>
  <c r="Q36" i="13"/>
  <c r="P36" i="13"/>
  <c r="O36" i="13"/>
  <c r="AD35" i="13"/>
  <c r="AC35" i="13"/>
  <c r="AB35" i="13"/>
  <c r="AA35" i="13"/>
  <c r="R35" i="13"/>
  <c r="Q35" i="13"/>
  <c r="P35" i="13"/>
  <c r="O35" i="13"/>
  <c r="AD34" i="13"/>
  <c r="AC34" i="13"/>
  <c r="AB34" i="13"/>
  <c r="AA34" i="13"/>
  <c r="R34" i="13"/>
  <c r="Q34" i="13"/>
  <c r="P34" i="13"/>
  <c r="O34" i="13"/>
  <c r="AD33" i="13"/>
  <c r="AC33" i="13"/>
  <c r="AB33" i="13"/>
  <c r="AA33" i="13"/>
  <c r="R33" i="13"/>
  <c r="Q33" i="13"/>
  <c r="P33" i="13"/>
  <c r="O33" i="13"/>
  <c r="AD32" i="13"/>
  <c r="AC32" i="13"/>
  <c r="AB32" i="13"/>
  <c r="AA32" i="13"/>
  <c r="R32" i="13"/>
  <c r="Q32" i="13"/>
  <c r="P32" i="13"/>
  <c r="O32" i="13"/>
  <c r="AD31" i="13"/>
  <c r="AC31" i="13"/>
  <c r="AB31" i="13"/>
  <c r="AA31" i="13"/>
  <c r="R31" i="13"/>
  <c r="Q31" i="13"/>
  <c r="P31" i="13"/>
  <c r="O31" i="13"/>
  <c r="AD30" i="13"/>
  <c r="AC30" i="13"/>
  <c r="AB30" i="13"/>
  <c r="AA30" i="13"/>
  <c r="R30" i="13"/>
  <c r="Q30" i="13"/>
  <c r="P30" i="13"/>
  <c r="O30" i="13"/>
  <c r="AD29" i="13"/>
  <c r="AC29" i="13"/>
  <c r="AB29" i="13"/>
  <c r="AA29" i="13"/>
  <c r="R29" i="13"/>
  <c r="Q29" i="13"/>
  <c r="P29" i="13"/>
  <c r="O29" i="13"/>
  <c r="AD28" i="13"/>
  <c r="AC28" i="13"/>
  <c r="AB28" i="13"/>
  <c r="AA28" i="13"/>
  <c r="R28" i="13"/>
  <c r="Q28" i="13"/>
  <c r="P28" i="13"/>
  <c r="O28" i="13"/>
  <c r="AD27" i="13"/>
  <c r="AC27" i="13"/>
  <c r="AB27" i="13"/>
  <c r="AA27" i="13"/>
  <c r="R27" i="13"/>
  <c r="Q27" i="13"/>
  <c r="P27" i="13"/>
  <c r="O27" i="13"/>
  <c r="AD26" i="13"/>
  <c r="AC26" i="13"/>
  <c r="AB26" i="13"/>
  <c r="AA26" i="13"/>
  <c r="R26" i="13"/>
  <c r="Q26" i="13"/>
  <c r="P26" i="13"/>
  <c r="O26" i="13"/>
  <c r="AD25" i="13"/>
  <c r="AC25" i="13"/>
  <c r="AB25" i="13"/>
  <c r="AA25" i="13"/>
  <c r="R25" i="13"/>
  <c r="Q25" i="13"/>
  <c r="P25" i="13"/>
  <c r="O25" i="13"/>
  <c r="AD24" i="13"/>
  <c r="AC24" i="13"/>
  <c r="AA24" i="13"/>
  <c r="R24" i="13"/>
  <c r="Q24" i="13"/>
  <c r="O24" i="13"/>
  <c r="AD22" i="13"/>
  <c r="AC22" i="13"/>
  <c r="AB22" i="13"/>
  <c r="AA22" i="13"/>
  <c r="R22" i="13"/>
  <c r="Q22" i="13"/>
  <c r="P22" i="13"/>
  <c r="O22" i="13"/>
  <c r="AD21" i="13"/>
  <c r="AC21" i="13"/>
  <c r="AB21" i="13"/>
  <c r="AA21" i="13"/>
  <c r="R21" i="13"/>
  <c r="Q21" i="13"/>
  <c r="P21" i="13"/>
  <c r="O21" i="13"/>
  <c r="AD20" i="13"/>
  <c r="AC20" i="13"/>
  <c r="AB20" i="13"/>
  <c r="AA20" i="13"/>
  <c r="R20" i="13"/>
  <c r="Q20" i="13"/>
  <c r="P20" i="13"/>
  <c r="O20" i="13"/>
  <c r="AD19" i="13"/>
  <c r="AC19" i="13"/>
  <c r="AB19" i="13"/>
  <c r="AA19" i="13"/>
  <c r="R19" i="13"/>
  <c r="Q19" i="13"/>
  <c r="P19" i="13"/>
  <c r="O19" i="13"/>
  <c r="AD18" i="13"/>
  <c r="AC18" i="13"/>
  <c r="AB18" i="13"/>
  <c r="AA18" i="13"/>
  <c r="R18" i="13"/>
  <c r="Q18" i="13"/>
  <c r="P18" i="13"/>
  <c r="O18" i="13"/>
  <c r="AD17" i="13"/>
  <c r="AC17" i="13"/>
  <c r="AB17" i="13"/>
  <c r="AA17" i="13"/>
  <c r="R17" i="13"/>
  <c r="Q17" i="13"/>
  <c r="P17" i="13"/>
  <c r="O17" i="13"/>
  <c r="AD16" i="13"/>
  <c r="AC16" i="13"/>
  <c r="AB16" i="13"/>
  <c r="AA16" i="13"/>
  <c r="R16" i="13"/>
  <c r="Q16" i="13"/>
  <c r="P16" i="13"/>
  <c r="O16" i="13"/>
  <c r="AD15" i="13"/>
  <c r="AC15" i="13"/>
  <c r="AB15" i="13"/>
  <c r="AA15" i="13"/>
  <c r="R15" i="13"/>
  <c r="Q15" i="13"/>
  <c r="P15" i="13"/>
  <c r="O15" i="13"/>
  <c r="AD14" i="13"/>
  <c r="AC14" i="13"/>
  <c r="AB14" i="13"/>
  <c r="AA14" i="13"/>
  <c r="R14" i="13"/>
  <c r="Q14" i="13"/>
  <c r="P14" i="13"/>
  <c r="O14" i="13"/>
  <c r="AD13" i="13"/>
  <c r="AC13" i="13"/>
  <c r="AB13" i="13"/>
  <c r="AA13" i="13"/>
  <c r="R13" i="13"/>
  <c r="Q13" i="13"/>
  <c r="P13" i="13"/>
  <c r="O13" i="13"/>
  <c r="AD12" i="13"/>
  <c r="AC12" i="13"/>
  <c r="AB12" i="13"/>
  <c r="AA12" i="13"/>
  <c r="R12" i="13"/>
  <c r="Q12" i="13"/>
  <c r="P12" i="13"/>
  <c r="O12" i="13"/>
  <c r="AD11" i="13"/>
  <c r="AC11" i="13"/>
  <c r="AB11" i="13"/>
  <c r="AA11" i="13"/>
  <c r="R11" i="13"/>
  <c r="Q11" i="13"/>
  <c r="P11" i="13"/>
  <c r="O11" i="13"/>
  <c r="AD9" i="13"/>
  <c r="AC9" i="13"/>
  <c r="AB9" i="13"/>
  <c r="AA9" i="13"/>
  <c r="R9" i="13"/>
  <c r="Q9" i="13"/>
  <c r="P9" i="13"/>
  <c r="O9" i="13"/>
  <c r="AD8" i="13"/>
  <c r="AC8" i="13"/>
  <c r="AB8" i="13"/>
  <c r="AA8" i="13"/>
  <c r="R8" i="13"/>
  <c r="Q8" i="13"/>
  <c r="P8" i="13"/>
  <c r="O8" i="13"/>
  <c r="AD7" i="13"/>
  <c r="AC7" i="13"/>
  <c r="AB7" i="13"/>
  <c r="AA7" i="13"/>
  <c r="R7" i="13"/>
  <c r="Q7" i="13"/>
  <c r="P7" i="13"/>
  <c r="O7" i="13"/>
  <c r="AD6" i="13"/>
  <c r="AC6" i="13"/>
  <c r="AB6" i="13"/>
  <c r="AA6" i="13"/>
  <c r="R6" i="13"/>
  <c r="Q6" i="13"/>
  <c r="P6" i="13"/>
  <c r="O6" i="13"/>
  <c r="AD5" i="13"/>
  <c r="AC5" i="13"/>
  <c r="AB5" i="13"/>
  <c r="AA5" i="13"/>
  <c r="R5" i="13"/>
  <c r="Q5" i="13"/>
  <c r="P5" i="13"/>
  <c r="O5" i="13"/>
  <c r="AD4" i="13"/>
  <c r="AC4" i="13"/>
  <c r="AB4" i="13"/>
  <c r="AA4" i="13"/>
  <c r="R4" i="13"/>
  <c r="Q4" i="13"/>
  <c r="P4" i="13"/>
  <c r="O4" i="13"/>
  <c r="AD3" i="13"/>
  <c r="AC3" i="13"/>
  <c r="AB3" i="13"/>
  <c r="AA3" i="13"/>
  <c r="R3" i="13"/>
  <c r="Q3" i="13"/>
  <c r="P3" i="13"/>
  <c r="O3" i="13"/>
  <c r="AJ44" i="12"/>
  <c r="AI44" i="12"/>
  <c r="AH44" i="12"/>
  <c r="AG44" i="12"/>
  <c r="AJ43" i="12"/>
  <c r="AI43" i="12"/>
  <c r="AH43" i="12"/>
  <c r="AG43" i="12"/>
  <c r="AJ42" i="12"/>
  <c r="AI42" i="12"/>
  <c r="AH42" i="12"/>
  <c r="V41" i="12"/>
  <c r="AJ41" i="12"/>
  <c r="AI41" i="12"/>
  <c r="AH41" i="12"/>
  <c r="AJ40" i="12"/>
  <c r="AI40" i="12"/>
  <c r="AG40" i="12"/>
  <c r="AJ39" i="12"/>
  <c r="AI39" i="12"/>
  <c r="AJ37" i="12"/>
  <c r="AI37" i="12"/>
  <c r="AH37" i="12"/>
  <c r="AJ36" i="12"/>
  <c r="AJ35" i="12"/>
  <c r="AI35" i="12"/>
  <c r="AH35" i="12"/>
  <c r="AJ34" i="12"/>
  <c r="AH34" i="12"/>
  <c r="AJ33" i="12"/>
  <c r="AI33" i="12"/>
  <c r="AH33" i="12"/>
  <c r="AJ32" i="12"/>
  <c r="AI32" i="12"/>
  <c r="AH32" i="12"/>
  <c r="AG32" i="12"/>
  <c r="AI31" i="12"/>
  <c r="AJ30" i="12"/>
  <c r="AI30" i="12"/>
  <c r="AH30" i="12"/>
  <c r="AJ29" i="12"/>
  <c r="AI29" i="12"/>
  <c r="AH29" i="12"/>
  <c r="AG29" i="12"/>
  <c r="AJ28" i="12"/>
  <c r="AI28" i="12"/>
  <c r="AH28" i="12"/>
  <c r="AG28" i="12"/>
  <c r="AJ27" i="12"/>
  <c r="AJ26" i="12"/>
  <c r="AI26" i="12"/>
  <c r="AH26" i="12"/>
  <c r="AG26" i="12"/>
  <c r="AI25" i="12"/>
  <c r="AH25" i="12"/>
  <c r="AG25" i="12"/>
  <c r="AJ24" i="12"/>
  <c r="AI24" i="12"/>
  <c r="AJ22" i="12"/>
  <c r="AI22" i="12"/>
  <c r="AH22" i="12"/>
  <c r="AG22" i="12"/>
  <c r="X22" i="12"/>
  <c r="W22" i="12"/>
  <c r="V22" i="12"/>
  <c r="U22" i="12"/>
  <c r="AJ21" i="12"/>
  <c r="AI21" i="12"/>
  <c r="AH21" i="12"/>
  <c r="AG21" i="12"/>
  <c r="X21" i="12"/>
  <c r="W21" i="12"/>
  <c r="V21" i="12"/>
  <c r="U21" i="12"/>
  <c r="AJ20" i="12"/>
  <c r="AI20" i="12"/>
  <c r="AH20" i="12"/>
  <c r="AG20" i="12"/>
  <c r="X20" i="12"/>
  <c r="W20" i="12"/>
  <c r="V20" i="12"/>
  <c r="U20" i="12"/>
  <c r="AJ19" i="12"/>
  <c r="AI19" i="12"/>
  <c r="AH19" i="12"/>
  <c r="AG19" i="12"/>
  <c r="X19" i="12"/>
  <c r="W19" i="12"/>
  <c r="V19" i="12"/>
  <c r="U19" i="12"/>
  <c r="AJ18" i="12"/>
  <c r="AI18" i="12"/>
  <c r="AH18" i="12"/>
  <c r="AG18" i="12"/>
  <c r="X18" i="12"/>
  <c r="W18" i="12"/>
  <c r="V18" i="12"/>
  <c r="U18" i="12"/>
  <c r="AJ17" i="12"/>
  <c r="AI17" i="12"/>
  <c r="AH17" i="12"/>
  <c r="AG17" i="12"/>
  <c r="X17" i="12"/>
  <c r="W17" i="12"/>
  <c r="V17" i="12"/>
  <c r="U17" i="12"/>
  <c r="AJ16" i="12"/>
  <c r="AI16" i="12"/>
  <c r="AH16" i="12"/>
  <c r="AG16" i="12"/>
  <c r="X16" i="12"/>
  <c r="W16" i="12"/>
  <c r="V16" i="12"/>
  <c r="U16" i="12"/>
  <c r="AJ15" i="12"/>
  <c r="AI15" i="12"/>
  <c r="AH15" i="12"/>
  <c r="AG15" i="12"/>
  <c r="X15" i="12"/>
  <c r="W15" i="12"/>
  <c r="V15" i="12"/>
  <c r="U15" i="12"/>
  <c r="AJ14" i="12"/>
  <c r="AI14" i="12"/>
  <c r="AH14" i="12"/>
  <c r="AG14" i="12"/>
  <c r="X14" i="12"/>
  <c r="W14" i="12"/>
  <c r="V14" i="12"/>
  <c r="U14" i="12"/>
  <c r="AJ13" i="12"/>
  <c r="AI13" i="12"/>
  <c r="AH13" i="12"/>
  <c r="AG13" i="12"/>
  <c r="X13" i="12"/>
  <c r="W13" i="12"/>
  <c r="V13" i="12"/>
  <c r="U13" i="12"/>
  <c r="AJ12" i="12"/>
  <c r="AI12" i="12"/>
  <c r="AH12" i="12"/>
  <c r="AG12" i="12"/>
  <c r="X12" i="12"/>
  <c r="W12" i="12"/>
  <c r="V12" i="12"/>
  <c r="U12" i="12"/>
  <c r="AJ11" i="12"/>
  <c r="AI11" i="12"/>
  <c r="AH11" i="12"/>
  <c r="AG11" i="12"/>
  <c r="X11" i="12"/>
  <c r="W11" i="12"/>
  <c r="V11" i="12"/>
  <c r="U11" i="12"/>
  <c r="AJ9" i="12"/>
  <c r="AI9" i="12"/>
  <c r="AH9" i="12"/>
  <c r="AG9" i="12"/>
  <c r="X9" i="12"/>
  <c r="W9" i="12"/>
  <c r="V9" i="12"/>
  <c r="U9" i="12"/>
  <c r="AJ8" i="12"/>
  <c r="AI8" i="12"/>
  <c r="AH8" i="12"/>
  <c r="AG8" i="12"/>
  <c r="X8" i="12"/>
  <c r="W8" i="12"/>
  <c r="V8" i="12"/>
  <c r="U8" i="12"/>
  <c r="AJ7" i="12"/>
  <c r="AI7" i="12"/>
  <c r="AH7" i="12"/>
  <c r="AG7" i="12"/>
  <c r="X7" i="12"/>
  <c r="W7" i="12"/>
  <c r="V7" i="12"/>
  <c r="U7" i="12"/>
  <c r="AJ6" i="12"/>
  <c r="AI6" i="12"/>
  <c r="AH6" i="12"/>
  <c r="AG6" i="12"/>
  <c r="X6" i="12"/>
  <c r="W6" i="12"/>
  <c r="V6" i="12"/>
  <c r="U6" i="12"/>
  <c r="AJ5" i="12"/>
  <c r="AI5" i="12"/>
  <c r="AH5" i="12"/>
  <c r="AG5" i="12"/>
  <c r="X5" i="12"/>
  <c r="W5" i="12"/>
  <c r="V5" i="12"/>
  <c r="U5" i="12"/>
  <c r="AJ4" i="12"/>
  <c r="AI4" i="12"/>
  <c r="AH4" i="12"/>
  <c r="AG4" i="12"/>
  <c r="X4" i="12"/>
  <c r="W4" i="12"/>
  <c r="V4" i="12"/>
  <c r="U4" i="12"/>
  <c r="AJ3" i="12"/>
  <c r="AI3" i="12"/>
  <c r="AH3" i="12"/>
  <c r="AG3" i="12"/>
  <c r="X3" i="12"/>
  <c r="W3" i="12"/>
  <c r="V3" i="12"/>
  <c r="U3" i="12"/>
  <c r="AH39" i="12"/>
  <c r="AG39" i="12"/>
  <c r="H4" i="11"/>
  <c r="G141" i="10"/>
  <c r="D141" i="10"/>
  <c r="D142" i="10" s="1"/>
  <c r="N121" i="10"/>
  <c r="G121" i="10"/>
  <c r="G115" i="10"/>
  <c r="G109" i="10"/>
  <c r="D100" i="10"/>
  <c r="D101" i="10" s="1"/>
  <c r="G97" i="10"/>
  <c r="R88" i="10"/>
  <c r="N88" i="10"/>
  <c r="D88" i="10"/>
  <c r="G80" i="10"/>
  <c r="D80" i="10"/>
  <c r="D81" i="10" s="1"/>
  <c r="Y48" i="10"/>
  <c r="N48" i="10"/>
  <c r="Y45" i="10"/>
  <c r="G40" i="10"/>
  <c r="Z34" i="10"/>
  <c r="G28" i="10"/>
  <c r="R22" i="10"/>
  <c r="R24" i="10" s="1"/>
  <c r="G22" i="10"/>
  <c r="M19" i="10"/>
  <c r="D19" i="10"/>
  <c r="D21" i="10" s="1"/>
  <c r="E13" i="10"/>
  <c r="D13" i="10"/>
  <c r="D14" i="10" s="1"/>
  <c r="G10" i="10"/>
  <c r="X1" i="9"/>
  <c r="P45" i="9"/>
  <c r="P40" i="9"/>
  <c r="P37" i="9"/>
  <c r="P36" i="9"/>
  <c r="P33" i="9"/>
  <c r="P29" i="9"/>
  <c r="P21" i="9"/>
  <c r="L44" i="9"/>
  <c r="L42" i="9"/>
  <c r="L40" i="9"/>
  <c r="L31" i="9"/>
  <c r="L27" i="9"/>
  <c r="L14" i="9"/>
  <c r="D34" i="9"/>
  <c r="AB30" i="8"/>
  <c r="K19" i="5"/>
  <c r="U45" i="5"/>
  <c r="D19" i="5"/>
  <c r="D80" i="5"/>
  <c r="D82" i="5" s="1"/>
  <c r="V34" i="5"/>
  <c r="P22" i="5"/>
  <c r="P24" i="5" s="1"/>
  <c r="D141" i="5"/>
  <c r="P88" i="5"/>
  <c r="L88" i="5"/>
  <c r="D88" i="5"/>
  <c r="D111" i="5"/>
  <c r="G115" i="5"/>
  <c r="D100" i="5"/>
  <c r="D101" i="5" s="1"/>
  <c r="G28" i="5"/>
  <c r="G22" i="5"/>
  <c r="G40" i="5"/>
  <c r="E13" i="5"/>
  <c r="D13" i="5"/>
  <c r="D14" i="5" s="1"/>
  <c r="G10" i="5"/>
  <c r="G141" i="5"/>
  <c r="L121" i="5"/>
  <c r="G121" i="5"/>
  <c r="G109" i="5"/>
  <c r="G97" i="5"/>
  <c r="G34" i="5"/>
  <c r="G80" i="5"/>
  <c r="P35" i="9"/>
  <c r="N116" i="16"/>
  <c r="D116" i="16"/>
  <c r="N116" i="10"/>
  <c r="D116" i="10"/>
  <c r="D55" i="16"/>
  <c r="D55" i="10"/>
  <c r="D55" i="5"/>
  <c r="R98" i="16"/>
  <c r="D98" i="16"/>
  <c r="D98" i="10"/>
  <c r="R98" i="10"/>
  <c r="D125" i="5"/>
  <c r="D125" i="16"/>
  <c r="D125" i="10"/>
  <c r="N64" i="16"/>
  <c r="E64" i="16"/>
  <c r="N64" i="10"/>
  <c r="D64" i="10"/>
  <c r="N61" i="16"/>
  <c r="D61" i="16"/>
  <c r="N61" i="10"/>
  <c r="D61" i="10"/>
  <c r="N14" i="16"/>
  <c r="E14" i="16"/>
  <c r="R14" i="16"/>
  <c r="R14" i="10"/>
  <c r="N14" i="10"/>
  <c r="E26" i="16"/>
  <c r="D26" i="16"/>
  <c r="R26" i="16"/>
  <c r="R26" i="10"/>
  <c r="D26" i="10"/>
  <c r="R38" i="16"/>
  <c r="E38" i="16"/>
  <c r="D38" i="16"/>
  <c r="M38" i="16"/>
  <c r="N38" i="10"/>
  <c r="D38" i="10"/>
  <c r="N62" i="10"/>
  <c r="D73" i="16"/>
  <c r="R73" i="16"/>
  <c r="R73" i="10"/>
  <c r="D73" i="10"/>
  <c r="N90" i="16"/>
  <c r="D90" i="16"/>
  <c r="N90" i="10"/>
  <c r="D90" i="10"/>
  <c r="R123" i="16"/>
  <c r="N123" i="16"/>
  <c r="R123" i="10"/>
  <c r="D123" i="10"/>
  <c r="N11" i="16"/>
  <c r="E11" i="16"/>
  <c r="D11" i="16"/>
  <c r="M11" i="16"/>
  <c r="N11" i="10"/>
  <c r="M11" i="10"/>
  <c r="D11" i="10"/>
  <c r="D11" i="5"/>
  <c r="K11" i="5"/>
  <c r="E23" i="16"/>
  <c r="I23" i="16"/>
  <c r="N23" i="16"/>
  <c r="D23" i="16"/>
  <c r="I15" i="11"/>
  <c r="I14" i="11"/>
  <c r="I13" i="11"/>
  <c r="N23" i="10"/>
  <c r="D23" i="10"/>
  <c r="R23" i="10"/>
  <c r="E32" i="16"/>
  <c r="R32" i="16"/>
  <c r="D32" i="16"/>
  <c r="D32" i="10"/>
  <c r="N32" i="10"/>
  <c r="P17" i="5"/>
  <c r="N17" i="16"/>
  <c r="M17" i="16" s="1"/>
  <c r="R17" i="16"/>
  <c r="R17" i="10"/>
  <c r="D59" i="16"/>
  <c r="N59" i="16"/>
  <c r="D59" i="10"/>
  <c r="R59" i="10"/>
  <c r="L70" i="5"/>
  <c r="R70" i="16"/>
  <c r="N70" i="16"/>
  <c r="M70" i="16" s="1"/>
  <c r="N70" i="10"/>
  <c r="N81" i="16"/>
  <c r="R81" i="16"/>
  <c r="R81" i="10"/>
  <c r="N81" i="10"/>
  <c r="R87" i="16"/>
  <c r="N87" i="16"/>
  <c r="D87" i="16"/>
  <c r="N87" i="10"/>
  <c r="D87" i="10"/>
  <c r="R87" i="10"/>
  <c r="E36" i="16"/>
  <c r="D36" i="16"/>
  <c r="N36" i="16"/>
  <c r="R36" i="10"/>
  <c r="D36" i="10"/>
  <c r="N36" i="10"/>
  <c r="N102" i="10"/>
  <c r="D110" i="16"/>
  <c r="D110" i="10"/>
  <c r="R120" i="10"/>
  <c r="R122" i="16"/>
  <c r="D122" i="16"/>
  <c r="N122" i="16"/>
  <c r="R122" i="10"/>
  <c r="D122" i="10"/>
  <c r="N122" i="10"/>
  <c r="N131" i="16"/>
  <c r="D133" i="5"/>
  <c r="D133" i="16"/>
  <c r="D133" i="10"/>
  <c r="D142" i="5"/>
  <c r="N15" i="16"/>
  <c r="N15" i="10"/>
  <c r="D20" i="16"/>
  <c r="R20" i="16"/>
  <c r="M20" i="16" s="1"/>
  <c r="E20" i="16"/>
  <c r="I4" i="11"/>
  <c r="R20" i="10"/>
  <c r="M20" i="10" s="1"/>
  <c r="E27" i="16"/>
  <c r="D27" i="10"/>
  <c r="D29" i="16"/>
  <c r="R29" i="16"/>
  <c r="N29" i="16"/>
  <c r="I29" i="16"/>
  <c r="E29" i="16"/>
  <c r="D29" i="10"/>
  <c r="R29" i="10"/>
  <c r="N29" i="10"/>
  <c r="P29" i="5"/>
  <c r="L29" i="5"/>
  <c r="D41" i="16"/>
  <c r="R41" i="16"/>
  <c r="N41" i="16"/>
  <c r="E41" i="16"/>
  <c r="R41" i="10"/>
  <c r="N41" i="10"/>
  <c r="D41" i="10"/>
  <c r="D47" i="16"/>
  <c r="D47" i="10"/>
  <c r="D49" i="5"/>
  <c r="R49" i="16"/>
  <c r="M49" i="16"/>
  <c r="E49" i="16"/>
  <c r="D49" i="16"/>
  <c r="N49" i="16"/>
  <c r="Y49" i="16" s="1"/>
  <c r="R49" i="10"/>
  <c r="N49" i="10"/>
  <c r="Y49" i="10" s="1"/>
  <c r="D49" i="10"/>
  <c r="D56" i="16"/>
  <c r="D56" i="10"/>
  <c r="N58" i="16"/>
  <c r="D58" i="16"/>
  <c r="E58" i="16"/>
  <c r="R58" i="10"/>
  <c r="D58" i="10"/>
  <c r="N65" i="10"/>
  <c r="N67" i="16"/>
  <c r="M67" i="16"/>
  <c r="N67" i="10"/>
  <c r="R74" i="10"/>
  <c r="D78" i="16"/>
  <c r="R78" i="16"/>
  <c r="D78" i="10"/>
  <c r="R78" i="10"/>
  <c r="D84" i="5"/>
  <c r="D84" i="16"/>
  <c r="D84" i="10"/>
  <c r="D91" i="10"/>
  <c r="L35" i="5"/>
  <c r="N35" i="16"/>
  <c r="E35" i="16"/>
  <c r="D35" i="16"/>
  <c r="R35" i="16"/>
  <c r="G35" i="16"/>
  <c r="N35" i="10"/>
  <c r="D35" i="10"/>
  <c r="R35" i="10"/>
  <c r="D99" i="16"/>
  <c r="R99" i="10"/>
  <c r="N101" i="16"/>
  <c r="N101" i="10"/>
  <c r="N105" i="16"/>
  <c r="D105" i="16"/>
  <c r="N105" i="10"/>
  <c r="D105" i="10"/>
  <c r="N117" i="16"/>
  <c r="D117" i="16"/>
  <c r="N117" i="10"/>
  <c r="D117" i="10"/>
  <c r="D139" i="16"/>
  <c r="D139" i="10"/>
  <c r="N12" i="16"/>
  <c r="D12" i="16"/>
  <c r="R12" i="16"/>
  <c r="M12" i="16"/>
  <c r="M12" i="10"/>
  <c r="N12" i="10"/>
  <c r="D12" i="10"/>
  <c r="K12" i="5"/>
  <c r="I24" i="16"/>
  <c r="D24" i="16"/>
  <c r="N24" i="16"/>
  <c r="E24" i="16"/>
  <c r="N24" i="10"/>
  <c r="D24" i="10"/>
  <c r="R33" i="16"/>
  <c r="D33" i="16"/>
  <c r="N33" i="10"/>
  <c r="D33" i="10"/>
  <c r="R18" i="16"/>
  <c r="N18" i="16"/>
  <c r="M18" i="16" s="1"/>
  <c r="D18" i="16"/>
  <c r="R18" i="10"/>
  <c r="D18" i="10"/>
  <c r="D53" i="10"/>
  <c r="L71" i="5"/>
  <c r="R71" i="16"/>
  <c r="D71" i="16"/>
  <c r="N71" i="16"/>
  <c r="N71" i="10"/>
  <c r="R82" i="16"/>
  <c r="N82" i="16"/>
  <c r="R82" i="10"/>
  <c r="N82" i="10"/>
  <c r="N104" i="16"/>
  <c r="D104" i="16"/>
  <c r="D104" i="10"/>
  <c r="N104" i="10"/>
  <c r="D17" i="16"/>
  <c r="D17" i="10"/>
  <c r="D113" i="5"/>
  <c r="N113" i="16"/>
  <c r="D113" i="16"/>
  <c r="D113" i="10"/>
  <c r="N113" i="10"/>
  <c r="D21" i="16"/>
  <c r="R21" i="16"/>
  <c r="M21" i="16" s="1"/>
  <c r="E21" i="16"/>
  <c r="R30" i="16"/>
  <c r="N30" i="10"/>
  <c r="E42" i="16"/>
  <c r="N42" i="16"/>
  <c r="R42" i="10"/>
  <c r="D42" i="10"/>
  <c r="R50" i="16"/>
  <c r="N50" i="16"/>
  <c r="R50" i="10"/>
  <c r="D52" i="5"/>
  <c r="D52" i="16"/>
  <c r="D52" i="10"/>
  <c r="D68" i="16"/>
  <c r="N68" i="16"/>
  <c r="N68" i="10"/>
  <c r="D79" i="16"/>
  <c r="D85" i="5"/>
  <c r="D85" i="10"/>
  <c r="R93" i="16"/>
  <c r="D93" i="16"/>
  <c r="R93" i="10"/>
  <c r="D93" i="10"/>
  <c r="L107" i="5"/>
  <c r="N107" i="16"/>
  <c r="N107" i="10"/>
  <c r="R119" i="16"/>
  <c r="D119" i="16"/>
  <c r="R119" i="10"/>
  <c r="D119" i="10"/>
  <c r="D126" i="5"/>
  <c r="D126" i="16"/>
  <c r="D126" i="10"/>
  <c r="N130" i="16"/>
  <c r="D130" i="16"/>
  <c r="D130" i="10"/>
  <c r="N130" i="10"/>
  <c r="D114" i="16"/>
  <c r="N114" i="10"/>
  <c r="P47" i="5"/>
  <c r="D131" i="5"/>
  <c r="L12" i="5"/>
  <c r="L24" i="5"/>
  <c r="D24" i="5"/>
  <c r="L33" i="5"/>
  <c r="D123" i="5"/>
  <c r="P123" i="5"/>
  <c r="P59" i="5"/>
  <c r="D59" i="5"/>
  <c r="L68" i="5"/>
  <c r="P27" i="5"/>
  <c r="D58" i="5"/>
  <c r="P58" i="5"/>
  <c r="D74" i="5"/>
  <c r="P99" i="5"/>
  <c r="L105" i="5"/>
  <c r="D105" i="5"/>
  <c r="D117" i="5"/>
  <c r="L117" i="5"/>
  <c r="P21" i="5"/>
  <c r="K21" i="5" s="1"/>
  <c r="D30" i="5"/>
  <c r="L36" i="5"/>
  <c r="D36" i="5"/>
  <c r="L15" i="5"/>
  <c r="D42" i="5"/>
  <c r="D50" i="5"/>
  <c r="P18" i="5"/>
  <c r="D18" i="5"/>
  <c r="L62" i="5"/>
  <c r="P82" i="5"/>
  <c r="L123" i="5"/>
  <c r="L116" i="5"/>
  <c r="D116" i="5"/>
  <c r="L11" i="5"/>
  <c r="P14" i="5"/>
  <c r="L14" i="5"/>
  <c r="D20" i="5"/>
  <c r="P20" i="5"/>
  <c r="K20" i="5" s="1"/>
  <c r="L23" i="5"/>
  <c r="D23" i="5"/>
  <c r="P26" i="5"/>
  <c r="D26" i="5"/>
  <c r="D29" i="5"/>
  <c r="L32" i="5"/>
  <c r="D32" i="5"/>
  <c r="D38" i="5"/>
  <c r="L38" i="5"/>
  <c r="L41" i="5"/>
  <c r="D41" i="5"/>
  <c r="L49" i="5"/>
  <c r="P49" i="5"/>
  <c r="L61" i="5"/>
  <c r="D61" i="5"/>
  <c r="D64" i="5"/>
  <c r="L64" i="5"/>
  <c r="L67" i="5"/>
  <c r="P73" i="5"/>
  <c r="D73" i="5"/>
  <c r="P78" i="5"/>
  <c r="D78" i="5"/>
  <c r="P81" i="5"/>
  <c r="L81" i="5"/>
  <c r="L87" i="5"/>
  <c r="D87" i="5"/>
  <c r="P87" i="5"/>
  <c r="D90" i="5"/>
  <c r="L90" i="5"/>
  <c r="P35" i="5"/>
  <c r="D35" i="5"/>
  <c r="P93" i="5"/>
  <c r="D93" i="5"/>
  <c r="P98" i="5"/>
  <c r="D98" i="5"/>
  <c r="L101" i="5"/>
  <c r="L104" i="5"/>
  <c r="D104" i="5"/>
  <c r="D110" i="5"/>
  <c r="P119" i="5"/>
  <c r="D119" i="5"/>
  <c r="P122" i="5"/>
  <c r="D122" i="5"/>
  <c r="L130" i="5"/>
  <c r="D130" i="5"/>
  <c r="L113" i="5"/>
  <c r="D139" i="5"/>
  <c r="L122" i="5"/>
  <c r="D17" i="5"/>
  <c r="L32" i="9"/>
  <c r="L41" i="9"/>
  <c r="L10" i="9"/>
  <c r="E12" i="12"/>
  <c r="L9" i="9"/>
  <c r="E7" i="12"/>
  <c r="L16" i="9"/>
  <c r="L21" i="9"/>
  <c r="E20" i="12"/>
  <c r="P15" i="9"/>
  <c r="F14" i="12"/>
  <c r="L22" i="9"/>
  <c r="E21" i="12"/>
  <c r="C169" i="32"/>
  <c r="T205" i="39"/>
  <c r="Q143" i="24" l="1"/>
  <c r="G74" i="31"/>
  <c r="P89" i="31"/>
  <c r="P144" i="31"/>
  <c r="P54" i="38"/>
  <c r="P56" i="38" s="1"/>
  <c r="T25" i="39" s="1"/>
  <c r="G21" i="38"/>
  <c r="G22" i="38" s="1"/>
  <c r="C13" i="39" s="1"/>
  <c r="G73" i="24"/>
  <c r="P141" i="24"/>
  <c r="G124" i="31"/>
  <c r="U7" i="24"/>
  <c r="G51" i="24"/>
  <c r="G53" i="24" s="1"/>
  <c r="P89" i="24"/>
  <c r="G199" i="31"/>
  <c r="J44" i="31"/>
  <c r="P23" i="5"/>
  <c r="D20" i="10"/>
  <c r="D142" i="16"/>
  <c r="J130" i="24"/>
  <c r="Q46" i="24"/>
  <c r="G122" i="24"/>
  <c r="G51" i="31"/>
  <c r="G52" i="31" s="1"/>
  <c r="M23" i="16"/>
  <c r="M24" i="16"/>
  <c r="R24" i="16"/>
  <c r="J112" i="24"/>
  <c r="G65" i="24"/>
  <c r="J128" i="24"/>
  <c r="J143" i="24"/>
  <c r="P78" i="24"/>
  <c r="G42" i="24"/>
  <c r="G43" i="24" s="1"/>
  <c r="G91" i="31"/>
  <c r="D82" i="10"/>
  <c r="R23" i="16"/>
  <c r="Q121" i="24"/>
  <c r="P121" i="24" s="1"/>
  <c r="Q79" i="24"/>
  <c r="P71" i="38"/>
  <c r="T32" i="39" s="1"/>
  <c r="J37" i="31"/>
  <c r="G133" i="31"/>
  <c r="J142" i="24"/>
  <c r="G11" i="24"/>
  <c r="J145" i="31"/>
  <c r="J16" i="31"/>
  <c r="G36" i="38"/>
  <c r="G42" i="38"/>
  <c r="G44" i="38" s="1"/>
  <c r="O21" i="39" s="1"/>
  <c r="J155" i="24"/>
  <c r="J154" i="24"/>
  <c r="P133" i="24"/>
  <c r="D81" i="5"/>
  <c r="N32" i="16"/>
  <c r="G44" i="24"/>
  <c r="G79" i="24"/>
  <c r="Q76" i="24"/>
  <c r="G19" i="24"/>
  <c r="J136" i="24"/>
  <c r="P136" i="24"/>
  <c r="G98" i="24"/>
  <c r="P132" i="24"/>
  <c r="G71" i="31"/>
  <c r="H170" i="31"/>
  <c r="H43" i="38"/>
  <c r="D21" i="39" s="1"/>
  <c r="J168" i="31"/>
  <c r="J169" i="31" s="1"/>
  <c r="J137" i="31"/>
  <c r="J167" i="24"/>
  <c r="H155" i="24"/>
  <c r="P55" i="24"/>
  <c r="G109" i="24"/>
  <c r="G173" i="38"/>
  <c r="O180" i="39" s="1"/>
  <c r="G42" i="31"/>
  <c r="G43" i="31" s="1"/>
  <c r="P42" i="38"/>
  <c r="P44" i="38" s="1"/>
  <c r="T21" i="39" s="1"/>
  <c r="P89" i="38"/>
  <c r="T50" i="39" s="1"/>
  <c r="N33" i="16"/>
  <c r="G52" i="24"/>
  <c r="V40" i="12"/>
  <c r="P24" i="13"/>
  <c r="AG36" i="12"/>
  <c r="AG35" i="12"/>
  <c r="X44" i="12"/>
  <c r="W64" i="38"/>
  <c r="Q85" i="38"/>
  <c r="I49" i="39" s="1"/>
  <c r="Q22" i="38"/>
  <c r="I13" i="39" s="1"/>
  <c r="P82" i="38"/>
  <c r="H48" i="39" s="1"/>
  <c r="Q67" i="38"/>
  <c r="I29" i="39" s="1"/>
  <c r="W55" i="38"/>
  <c r="L25" i="39" s="1"/>
  <c r="P40" i="38"/>
  <c r="H20" i="39" s="1"/>
  <c r="W166" i="38"/>
  <c r="L167" i="39" s="1"/>
  <c r="U52" i="38"/>
  <c r="K24" i="39" s="1"/>
  <c r="J37" i="38"/>
  <c r="E18" i="39" s="1"/>
  <c r="P55" i="38"/>
  <c r="H25" i="39" s="1"/>
  <c r="P143" i="24"/>
  <c r="Q76" i="38"/>
  <c r="P76" i="38" s="1"/>
  <c r="H35" i="39" s="1"/>
  <c r="H88" i="38"/>
  <c r="D50" i="39" s="1"/>
  <c r="Q17" i="31"/>
  <c r="D4" i="12"/>
  <c r="J14" i="31"/>
  <c r="Q11" i="31"/>
  <c r="Q38" i="38"/>
  <c r="U18" i="39" s="1"/>
  <c r="H20" i="38"/>
  <c r="P12" i="39" s="1"/>
  <c r="W34" i="12"/>
  <c r="V39" i="12"/>
  <c r="U38" i="12"/>
  <c r="X37" i="12"/>
  <c r="X35" i="12"/>
  <c r="U31" i="12"/>
  <c r="U37" i="12"/>
  <c r="V31" i="12"/>
  <c r="V32" i="12"/>
  <c r="AG30" i="12"/>
  <c r="AJ25" i="12"/>
  <c r="AJ31" i="12"/>
  <c r="AG42" i="12"/>
  <c r="AI38" i="12"/>
  <c r="AB24" i="13"/>
  <c r="P116" i="38"/>
  <c r="T92" i="39" s="1"/>
  <c r="U92" i="39"/>
  <c r="L82" i="5"/>
  <c r="P50" i="5"/>
  <c r="P36" i="5"/>
  <c r="D21" i="5"/>
  <c r="P74" i="5"/>
  <c r="D27" i="5"/>
  <c r="D33" i="5"/>
  <c r="D12" i="5"/>
  <c r="M68" i="16"/>
  <c r="D50" i="10"/>
  <c r="M50" i="16"/>
  <c r="M42" i="16"/>
  <c r="R42" i="16"/>
  <c r="R21" i="10"/>
  <c r="M21" i="10" s="1"/>
  <c r="D82" i="16"/>
  <c r="M71" i="16"/>
  <c r="E33" i="16"/>
  <c r="P12" i="5"/>
  <c r="R12" i="10"/>
  <c r="E12" i="16"/>
  <c r="D99" i="10"/>
  <c r="M35" i="16"/>
  <c r="D74" i="16"/>
  <c r="D56" i="5"/>
  <c r="R36" i="16"/>
  <c r="M36" i="16" s="1"/>
  <c r="D70" i="16"/>
  <c r="N123" i="10"/>
  <c r="D123" i="16"/>
  <c r="N62" i="16"/>
  <c r="Q21" i="28"/>
  <c r="G8" i="24"/>
  <c r="U8" i="24"/>
  <c r="H7" i="24"/>
  <c r="W32" i="24"/>
  <c r="Q32" i="24"/>
  <c r="J29" i="24"/>
  <c r="Q155" i="24"/>
  <c r="P155" i="24" s="1"/>
  <c r="W44" i="24"/>
  <c r="L44" i="24"/>
  <c r="G68" i="24"/>
  <c r="P85" i="24"/>
  <c r="P106" i="24"/>
  <c r="H74" i="24"/>
  <c r="G101" i="24"/>
  <c r="Q116" i="24"/>
  <c r="P116" i="24" s="1"/>
  <c r="H167" i="24"/>
  <c r="J38" i="24"/>
  <c r="U38" i="24"/>
  <c r="P38" i="24" s="1"/>
  <c r="H152" i="24"/>
  <c r="J62" i="24"/>
  <c r="H164" i="24"/>
  <c r="L80" i="24"/>
  <c r="P50" i="24"/>
  <c r="G50" i="24"/>
  <c r="H131" i="24"/>
  <c r="G131" i="24"/>
  <c r="H143" i="24"/>
  <c r="H17" i="24"/>
  <c r="P31" i="24"/>
  <c r="J125" i="24"/>
  <c r="L83" i="24"/>
  <c r="G113" i="24"/>
  <c r="U23" i="24"/>
  <c r="P112" i="38"/>
  <c r="H86" i="39" s="1"/>
  <c r="P160" i="38"/>
  <c r="H163" i="39" s="1"/>
  <c r="P44" i="31"/>
  <c r="H74" i="31"/>
  <c r="G17" i="31"/>
  <c r="P8" i="31"/>
  <c r="G80" i="31"/>
  <c r="J191" i="31"/>
  <c r="G62" i="31"/>
  <c r="H7" i="31"/>
  <c r="U116" i="31"/>
  <c r="P116" i="31" s="1"/>
  <c r="Q38" i="31"/>
  <c r="J83" i="31"/>
  <c r="J50" i="31"/>
  <c r="G50" i="31"/>
  <c r="J182" i="31"/>
  <c r="G170" i="31"/>
  <c r="U101" i="31"/>
  <c r="P101" i="31" s="1"/>
  <c r="H124" i="38"/>
  <c r="D116" i="39" s="1"/>
  <c r="G10" i="38"/>
  <c r="C9" i="39" s="1"/>
  <c r="G25" i="38"/>
  <c r="C14" i="39" s="1"/>
  <c r="Q31" i="38"/>
  <c r="Q7" i="38"/>
  <c r="I8" i="39" s="1"/>
  <c r="J173" i="38"/>
  <c r="Q180" i="39" s="1"/>
  <c r="G113" i="38"/>
  <c r="O86" i="39" s="1"/>
  <c r="J38" i="38"/>
  <c r="Q18" i="39" s="1"/>
  <c r="G8" i="38"/>
  <c r="O8" i="39" s="1"/>
  <c r="H172" i="38"/>
  <c r="D180" i="39" s="1"/>
  <c r="J157" i="38"/>
  <c r="E161" i="39" s="1"/>
  <c r="J100" i="38"/>
  <c r="E60" i="39" s="1"/>
  <c r="W46" i="38"/>
  <c r="L22" i="39" s="1"/>
  <c r="J149" i="38"/>
  <c r="Q137" i="39" s="1"/>
  <c r="H17" i="38"/>
  <c r="P11" i="39" s="1"/>
  <c r="H70" i="38"/>
  <c r="D32" i="39" s="1"/>
  <c r="G169" i="38"/>
  <c r="C168" i="39" s="1"/>
  <c r="J181" i="38"/>
  <c r="E184" i="39" s="1"/>
  <c r="G112" i="38"/>
  <c r="C86" i="39" s="1"/>
  <c r="L76" i="38"/>
  <c r="F35" i="39" s="1"/>
  <c r="W80" i="38"/>
  <c r="X37" i="39" s="1"/>
  <c r="U50" i="38"/>
  <c r="W23" i="39" s="1"/>
  <c r="Q121" i="38"/>
  <c r="I108" i="39" s="1"/>
  <c r="G58" i="38"/>
  <c r="C26" i="39" s="1"/>
  <c r="Q58" i="38"/>
  <c r="I26" i="39" s="1"/>
  <c r="P29" i="38"/>
  <c r="T15" i="39" s="1"/>
  <c r="D62" i="5"/>
  <c r="L50" i="5"/>
  <c r="L42" i="5"/>
  <c r="D99" i="5"/>
  <c r="D85" i="16"/>
  <c r="N50" i="10"/>
  <c r="D50" i="16"/>
  <c r="N42" i="10"/>
  <c r="D42" i="16"/>
  <c r="R99" i="16"/>
  <c r="D74" i="10"/>
  <c r="R27" i="16"/>
  <c r="D62" i="10"/>
  <c r="D111" i="10"/>
  <c r="H8" i="24"/>
  <c r="G29" i="24"/>
  <c r="U29" i="24"/>
  <c r="P44" i="24"/>
  <c r="H44" i="24"/>
  <c r="J101" i="24"/>
  <c r="H38" i="24"/>
  <c r="G152" i="24"/>
  <c r="G62" i="24"/>
  <c r="Q62" i="24"/>
  <c r="P62" i="24" s="1"/>
  <c r="H80" i="24"/>
  <c r="W80" i="24"/>
  <c r="P80" i="24" s="1"/>
  <c r="Q50" i="24"/>
  <c r="J50" i="24"/>
  <c r="U131" i="24"/>
  <c r="G143" i="24"/>
  <c r="L143" i="24"/>
  <c r="L17" i="24"/>
  <c r="U17" i="24"/>
  <c r="P17" i="24" s="1"/>
  <c r="G125" i="24"/>
  <c r="P83" i="24"/>
  <c r="H83" i="24"/>
  <c r="Q56" i="24"/>
  <c r="P160" i="24"/>
  <c r="U113" i="24"/>
  <c r="P113" i="24" s="1"/>
  <c r="P172" i="38"/>
  <c r="H180" i="39" s="1"/>
  <c r="W32" i="31"/>
  <c r="U8" i="31"/>
  <c r="G116" i="31"/>
  <c r="H143" i="31"/>
  <c r="G38" i="31"/>
  <c r="P29" i="31"/>
  <c r="Q50" i="31"/>
  <c r="J170" i="31"/>
  <c r="P8" i="32"/>
  <c r="U145" i="38"/>
  <c r="K134" i="39" s="1"/>
  <c r="H10" i="38"/>
  <c r="D9" i="39" s="1"/>
  <c r="W25" i="38"/>
  <c r="L14" i="39" s="1"/>
  <c r="L148" i="38"/>
  <c r="F137" i="39" s="1"/>
  <c r="G7" i="38"/>
  <c r="C8" i="39" s="1"/>
  <c r="J7" i="38"/>
  <c r="E8" i="39" s="1"/>
  <c r="Q157" i="38"/>
  <c r="P157" i="38" s="1"/>
  <c r="H161" i="39" s="1"/>
  <c r="H133" i="38"/>
  <c r="D123" i="39" s="1"/>
  <c r="G100" i="38"/>
  <c r="C60" i="39" s="1"/>
  <c r="J46" i="38"/>
  <c r="E22" i="39" s="1"/>
  <c r="J112" i="38"/>
  <c r="E86" i="39" s="1"/>
  <c r="P50" i="38"/>
  <c r="T23" i="39" s="1"/>
  <c r="W121" i="38"/>
  <c r="L108" i="39" s="1"/>
  <c r="L58" i="38"/>
  <c r="F26" i="39" s="1"/>
  <c r="G161" i="38"/>
  <c r="O163" i="39" s="1"/>
  <c r="AG27" i="12"/>
  <c r="AH27" i="12"/>
  <c r="AG37" i="12"/>
  <c r="W28" i="12"/>
  <c r="V36" i="12"/>
  <c r="AI34" i="12"/>
  <c r="X28" i="12"/>
  <c r="W43" i="12"/>
  <c r="V42" i="12"/>
  <c r="U41" i="12"/>
  <c r="AH36" i="12"/>
  <c r="W42" i="12"/>
  <c r="AI36" i="12"/>
  <c r="AG31" i="12"/>
  <c r="AG41" i="12"/>
  <c r="V44" i="12"/>
  <c r="V24" i="12"/>
  <c r="AG33" i="12"/>
  <c r="X36" i="12"/>
  <c r="T204" i="28"/>
  <c r="AG24" i="12"/>
  <c r="AH31" i="12"/>
  <c r="H204" i="28"/>
  <c r="H204" i="32"/>
  <c r="V30" i="12"/>
  <c r="T204" i="32"/>
  <c r="W27" i="12"/>
  <c r="U36" i="12"/>
  <c r="AH40" i="12"/>
  <c r="U24" i="12"/>
  <c r="AH38" i="12"/>
  <c r="U33" i="12"/>
  <c r="AG34" i="12"/>
  <c r="U42" i="12"/>
  <c r="X25" i="12"/>
  <c r="X26" i="12"/>
  <c r="X34" i="12"/>
  <c r="W36" i="12"/>
  <c r="V37" i="12"/>
  <c r="U39" i="12"/>
  <c r="X40" i="12"/>
  <c r="W41" i="12"/>
  <c r="AJ38" i="12"/>
  <c r="X38" i="12"/>
  <c r="AG38" i="12"/>
  <c r="AH24" i="12"/>
  <c r="U25" i="12"/>
  <c r="U26" i="12"/>
  <c r="X27" i="12"/>
  <c r="X29" i="12"/>
  <c r="W30" i="12"/>
  <c r="W31" i="12"/>
  <c r="W32" i="12"/>
  <c r="V33" i="12"/>
  <c r="U34" i="12"/>
  <c r="U35" i="12"/>
  <c r="X39" i="12"/>
  <c r="W40" i="12"/>
  <c r="U43" i="12"/>
  <c r="U44" i="12"/>
  <c r="V25" i="12"/>
  <c r="V26" i="12"/>
  <c r="U28" i="12"/>
  <c r="U29" i="12"/>
  <c r="X30" i="12"/>
  <c r="X31" i="12"/>
  <c r="X32" i="12"/>
  <c r="W39" i="12"/>
  <c r="X42" i="12"/>
  <c r="X43" i="12"/>
  <c r="W24" i="12"/>
  <c r="AI27" i="12"/>
  <c r="V27" i="12"/>
  <c r="V28" i="12"/>
  <c r="V29" i="12"/>
  <c r="U30" i="12"/>
  <c r="U32" i="12"/>
  <c r="X33" i="12"/>
  <c r="V35" i="12"/>
  <c r="W37" i="12"/>
  <c r="V38" i="12"/>
  <c r="W44" i="12"/>
  <c r="X24" i="12"/>
  <c r="W25" i="12"/>
  <c r="W26" i="12"/>
  <c r="U27" i="12"/>
  <c r="W29" i="12"/>
  <c r="W33" i="12"/>
  <c r="V34" i="12"/>
  <c r="W35" i="12"/>
  <c r="W38" i="12"/>
  <c r="U40" i="12"/>
  <c r="X41" i="12"/>
  <c r="V43" i="12"/>
  <c r="P13" i="31"/>
  <c r="U7" i="31"/>
  <c r="P139" i="24"/>
  <c r="P46" i="24"/>
  <c r="P37" i="24"/>
  <c r="P10" i="24"/>
  <c r="J40" i="24"/>
  <c r="P85" i="31"/>
  <c r="P37" i="31"/>
  <c r="P142" i="24"/>
  <c r="P13" i="24"/>
  <c r="Q35" i="38"/>
  <c r="U17" i="39" s="1"/>
  <c r="Q35" i="31"/>
  <c r="E39" i="16"/>
  <c r="G35" i="31"/>
  <c r="H35" i="24"/>
  <c r="N39" i="10"/>
  <c r="P107" i="24"/>
  <c r="P103" i="24"/>
  <c r="P142" i="31"/>
  <c r="P11" i="5"/>
  <c r="R11" i="10"/>
  <c r="P88" i="24"/>
  <c r="P65" i="24"/>
  <c r="P58" i="38"/>
  <c r="H26" i="39" s="1"/>
  <c r="H40" i="38"/>
  <c r="D20" i="39" s="1"/>
  <c r="P76" i="24"/>
  <c r="P79" i="31"/>
  <c r="P121" i="31"/>
  <c r="P19" i="31"/>
  <c r="J62" i="38"/>
  <c r="Q27" i="39" s="1"/>
  <c r="P27" i="33"/>
  <c r="G64" i="31"/>
  <c r="P10" i="9"/>
  <c r="R11" i="16"/>
  <c r="G59" i="38"/>
  <c r="O26" i="39" s="1"/>
  <c r="G61" i="31"/>
  <c r="P26" i="31"/>
  <c r="I7" i="11"/>
  <c r="I11" i="11" s="1"/>
  <c r="I17" i="11" s="1"/>
  <c r="P25" i="31"/>
  <c r="P26" i="24"/>
  <c r="P25" i="24"/>
  <c r="H194" i="38"/>
  <c r="Q203" i="31"/>
  <c r="P203" i="31" s="1"/>
  <c r="H203" i="31"/>
  <c r="T77" i="21"/>
  <c r="J95" i="38"/>
  <c r="Q56" i="39" s="1"/>
  <c r="G95" i="31"/>
  <c r="D94" i="16"/>
  <c r="L95" i="38"/>
  <c r="R56" i="39" s="1"/>
  <c r="U95" i="31"/>
  <c r="P95" i="31" s="1"/>
  <c r="G95" i="24"/>
  <c r="P94" i="5"/>
  <c r="L95" i="24"/>
  <c r="R94" i="10"/>
  <c r="J95" i="31"/>
  <c r="J95" i="24"/>
  <c r="D94" i="10"/>
  <c r="H95" i="24"/>
  <c r="R94" i="16"/>
  <c r="H95" i="31"/>
  <c r="U95" i="24"/>
  <c r="P95" i="24" s="1"/>
  <c r="D94" i="5"/>
  <c r="G161" i="24"/>
  <c r="D134" i="10"/>
  <c r="J161" i="24"/>
  <c r="D134" i="16"/>
  <c r="H116" i="38"/>
  <c r="P92" i="39" s="1"/>
  <c r="J116" i="24"/>
  <c r="D91" i="5"/>
  <c r="D102" i="5"/>
  <c r="R30" i="10"/>
  <c r="D53" i="16"/>
  <c r="R15" i="10"/>
  <c r="D131" i="10"/>
  <c r="D102" i="16"/>
  <c r="D15" i="5"/>
  <c r="L65" i="5"/>
  <c r="D39" i="5"/>
  <c r="D30" i="16"/>
  <c r="D91" i="16"/>
  <c r="D67" i="16"/>
  <c r="N65" i="16"/>
  <c r="N131" i="10"/>
  <c r="D140" i="16"/>
  <c r="P199" i="28"/>
  <c r="Q47" i="24"/>
  <c r="P15" i="5"/>
  <c r="L131" i="5"/>
  <c r="R79" i="10"/>
  <c r="D30" i="10"/>
  <c r="E30" i="16"/>
  <c r="D53" i="5"/>
  <c r="N91" i="16"/>
  <c r="D65" i="10"/>
  <c r="E65" i="16"/>
  <c r="D39" i="10"/>
  <c r="R39" i="16"/>
  <c r="D15" i="10"/>
  <c r="E15" i="16"/>
  <c r="D131" i="16"/>
  <c r="D120" i="10"/>
  <c r="D102" i="10"/>
  <c r="D143" i="10"/>
  <c r="W58" i="21"/>
  <c r="G77" i="24"/>
  <c r="G35" i="24"/>
  <c r="G47" i="24"/>
  <c r="U47" i="24"/>
  <c r="Q104" i="24"/>
  <c r="P104" i="24" s="1"/>
  <c r="J104" i="24"/>
  <c r="G173" i="24"/>
  <c r="P173" i="24"/>
  <c r="H11" i="24"/>
  <c r="U11" i="24"/>
  <c r="J14" i="24"/>
  <c r="P59" i="24"/>
  <c r="J59" i="24"/>
  <c r="P19" i="24"/>
  <c r="H86" i="24"/>
  <c r="P118" i="24"/>
  <c r="G149" i="24"/>
  <c r="Q92" i="24"/>
  <c r="P92" i="24" s="1"/>
  <c r="P145" i="31"/>
  <c r="P106" i="31"/>
  <c r="G197" i="31"/>
  <c r="P31" i="31"/>
  <c r="J164" i="31"/>
  <c r="Q14" i="31"/>
  <c r="G11" i="31"/>
  <c r="W59" i="31"/>
  <c r="G107" i="31"/>
  <c r="P200" i="31"/>
  <c r="P16" i="31"/>
  <c r="J131" i="31"/>
  <c r="L35" i="31"/>
  <c r="U77" i="31"/>
  <c r="U52" i="33"/>
  <c r="G73" i="38"/>
  <c r="C34" i="39" s="1"/>
  <c r="J59" i="38"/>
  <c r="Q26" i="39" s="1"/>
  <c r="G47" i="38"/>
  <c r="O22" i="39" s="1"/>
  <c r="J97" i="38"/>
  <c r="E57" i="39" s="1"/>
  <c r="G61" i="38"/>
  <c r="C27" i="39" s="1"/>
  <c r="H86" i="38"/>
  <c r="P49" i="39" s="1"/>
  <c r="J191" i="38"/>
  <c r="Q200" i="39" s="1"/>
  <c r="Q137" i="38"/>
  <c r="U124" i="39" s="1"/>
  <c r="Q11" i="38"/>
  <c r="U9" i="39" s="1"/>
  <c r="Q50" i="38"/>
  <c r="U23" i="39" s="1"/>
  <c r="P23" i="28"/>
  <c r="P11" i="24"/>
  <c r="D65" i="5"/>
  <c r="D140" i="5"/>
  <c r="N30" i="16"/>
  <c r="M30" i="16" s="1"/>
  <c r="N91" i="10"/>
  <c r="D65" i="16"/>
  <c r="M39" i="16"/>
  <c r="R15" i="16"/>
  <c r="M15" i="16" s="1"/>
  <c r="D143" i="5"/>
  <c r="G137" i="24"/>
  <c r="Q35" i="24"/>
  <c r="L47" i="24"/>
  <c r="G104" i="24"/>
  <c r="U134" i="24"/>
  <c r="J173" i="24"/>
  <c r="J11" i="24"/>
  <c r="H14" i="24"/>
  <c r="U14" i="24"/>
  <c r="P14" i="24" s="1"/>
  <c r="G59" i="24"/>
  <c r="Q59" i="24"/>
  <c r="Q115" i="24"/>
  <c r="P115" i="24" s="1"/>
  <c r="J86" i="24"/>
  <c r="U86" i="24"/>
  <c r="H92" i="24"/>
  <c r="U86" i="39"/>
  <c r="P46" i="31"/>
  <c r="U149" i="31"/>
  <c r="G47" i="31"/>
  <c r="Q86" i="31"/>
  <c r="P86" i="31" s="1"/>
  <c r="H92" i="31"/>
  <c r="J11" i="31"/>
  <c r="P59" i="31"/>
  <c r="L200" i="31"/>
  <c r="P35" i="31"/>
  <c r="W17" i="32"/>
  <c r="U48" i="33"/>
  <c r="H59" i="38"/>
  <c r="P26" i="39" s="1"/>
  <c r="J47" i="38"/>
  <c r="Q22" i="39" s="1"/>
  <c r="G130" i="38"/>
  <c r="C122" i="39" s="1"/>
  <c r="Q79" i="38"/>
  <c r="Q188" i="38"/>
  <c r="G35" i="38"/>
  <c r="O17" i="39" s="1"/>
  <c r="P191" i="38"/>
  <c r="T200" i="39" s="1"/>
  <c r="H104" i="38"/>
  <c r="P77" i="39" s="1"/>
  <c r="J26" i="38"/>
  <c r="Q14" i="39" s="1"/>
  <c r="F46" i="21"/>
  <c r="L39" i="5"/>
  <c r="L30" i="5"/>
  <c r="L91" i="5"/>
  <c r="L102" i="5"/>
  <c r="P30" i="5"/>
  <c r="I30" i="16"/>
  <c r="D39" i="16"/>
  <c r="D15" i="16"/>
  <c r="N102" i="16"/>
  <c r="P35" i="24"/>
  <c r="U35" i="24"/>
  <c r="J47" i="24"/>
  <c r="P79" i="24"/>
  <c r="H104" i="24"/>
  <c r="L173" i="24"/>
  <c r="L11" i="24"/>
  <c r="G14" i="24"/>
  <c r="H59" i="24"/>
  <c r="U59" i="24"/>
  <c r="G86" i="24"/>
  <c r="P16" i="24"/>
  <c r="J197" i="31"/>
  <c r="Q92" i="31"/>
  <c r="P92" i="31" s="1"/>
  <c r="J59" i="31"/>
  <c r="P175" i="31"/>
  <c r="P97" i="31"/>
  <c r="H35" i="31"/>
  <c r="P88" i="31"/>
  <c r="P17" i="21"/>
  <c r="P38" i="21"/>
  <c r="J184" i="38"/>
  <c r="E188" i="39" s="1"/>
  <c r="U79" i="38"/>
  <c r="K37" i="39" s="1"/>
  <c r="L35" i="38"/>
  <c r="R17" i="39" s="1"/>
  <c r="G142" i="38"/>
  <c r="C128" i="39" s="1"/>
  <c r="L127" i="32"/>
  <c r="L11" i="9"/>
  <c r="F6" i="12"/>
  <c r="E36" i="21"/>
  <c r="Q167" i="33"/>
  <c r="T32" i="28"/>
  <c r="O11" i="33"/>
  <c r="W28" i="28"/>
  <c r="X15" i="33"/>
  <c r="W49" i="32"/>
  <c r="O8" i="32"/>
  <c r="T17" i="28"/>
  <c r="E8" i="21"/>
  <c r="P8" i="33"/>
  <c r="P12" i="9"/>
  <c r="C11" i="12"/>
  <c r="D8" i="28"/>
  <c r="U49" i="28"/>
  <c r="Q15" i="21"/>
  <c r="P21" i="28"/>
  <c r="I27" i="21"/>
  <c r="W34" i="33"/>
  <c r="D56" i="21"/>
  <c r="E17" i="12"/>
  <c r="I22" i="21"/>
  <c r="P9" i="33"/>
  <c r="O10" i="21"/>
  <c r="T23" i="21"/>
  <c r="Q44" i="21"/>
  <c r="W55" i="21"/>
  <c r="L8" i="28"/>
  <c r="K13" i="21"/>
  <c r="O49" i="28"/>
  <c r="W85" i="33"/>
  <c r="I27" i="32"/>
  <c r="D61" i="21"/>
  <c r="C79" i="32"/>
  <c r="T17" i="21"/>
  <c r="D11" i="28"/>
  <c r="K17" i="32"/>
  <c r="X9" i="21"/>
  <c r="C140" i="28"/>
  <c r="K15" i="21"/>
  <c r="K85" i="32"/>
  <c r="Q57" i="28"/>
  <c r="U8" i="32"/>
  <c r="U136" i="28"/>
  <c r="W37" i="21"/>
  <c r="E15" i="21"/>
  <c r="P45" i="21"/>
  <c r="X21" i="21"/>
  <c r="X122" i="32"/>
  <c r="H8" i="32"/>
  <c r="L8" i="32"/>
  <c r="X8" i="28"/>
  <c r="U40" i="21"/>
  <c r="K133" i="32"/>
  <c r="Q164" i="33"/>
  <c r="I24" i="33"/>
  <c r="R17" i="28"/>
  <c r="T23" i="28"/>
  <c r="U67" i="21"/>
  <c r="Q67" i="21"/>
  <c r="T25" i="21"/>
  <c r="Q64" i="21"/>
  <c r="P44" i="21"/>
  <c r="Q36" i="21"/>
  <c r="U49" i="33"/>
  <c r="E8" i="28"/>
  <c r="P9" i="32"/>
  <c r="O18" i="33"/>
  <c r="P11" i="21"/>
  <c r="U8" i="21"/>
  <c r="O8" i="21"/>
  <c r="E12" i="32"/>
  <c r="F8" i="21"/>
  <c r="Q145" i="32"/>
  <c r="X22" i="32"/>
  <c r="X21" i="32"/>
  <c r="R18" i="28"/>
  <c r="W26" i="28"/>
  <c r="T26" i="28"/>
  <c r="I16" i="21"/>
  <c r="D29" i="21"/>
  <c r="K60" i="21"/>
  <c r="Q55" i="21"/>
  <c r="Q16" i="21"/>
  <c r="P34" i="21"/>
  <c r="P31" i="21"/>
  <c r="Q48" i="28"/>
  <c r="U49" i="32"/>
  <c r="E8" i="33"/>
  <c r="K13" i="28"/>
  <c r="D11" i="33"/>
  <c r="F55" i="28"/>
  <c r="C62" i="21"/>
  <c r="U8" i="28"/>
  <c r="K17" i="21"/>
  <c r="E12" i="21"/>
  <c r="X8" i="21"/>
  <c r="E59" i="32"/>
  <c r="P37" i="28"/>
  <c r="E15" i="28"/>
  <c r="F55" i="21"/>
  <c r="R34" i="21"/>
  <c r="Q22" i="21"/>
  <c r="W45" i="21"/>
  <c r="W26" i="21"/>
  <c r="L68" i="21"/>
  <c r="Q21" i="21"/>
  <c r="Q48" i="33"/>
  <c r="W49" i="28"/>
  <c r="U37" i="21"/>
  <c r="E8" i="32"/>
  <c r="K85" i="28"/>
  <c r="K13" i="33"/>
  <c r="F55" i="33"/>
  <c r="D11" i="32"/>
  <c r="C8" i="21"/>
  <c r="P9" i="21"/>
  <c r="E12" i="33"/>
  <c r="E12" i="28"/>
  <c r="X9" i="28"/>
  <c r="R8" i="21"/>
  <c r="X122" i="28"/>
  <c r="C79" i="28"/>
  <c r="F79" i="28"/>
  <c r="Q15" i="28"/>
  <c r="X56" i="21"/>
  <c r="L56" i="21"/>
  <c r="W56" i="21"/>
  <c r="C46" i="21"/>
  <c r="P23" i="21"/>
  <c r="T26" i="21"/>
  <c r="Q56" i="21"/>
  <c r="Q48" i="32"/>
  <c r="W85" i="28"/>
  <c r="W49" i="33"/>
  <c r="K85" i="33"/>
  <c r="I27" i="33"/>
  <c r="K13" i="32"/>
  <c r="F55" i="32"/>
  <c r="O8" i="33"/>
  <c r="F39" i="21"/>
  <c r="P8" i="28"/>
  <c r="O8" i="28"/>
  <c r="F8" i="33"/>
  <c r="F8" i="28"/>
  <c r="L9" i="21"/>
  <c r="R19" i="21"/>
  <c r="D136" i="28"/>
  <c r="I125" i="32"/>
  <c r="F9" i="32"/>
  <c r="E74" i="21"/>
  <c r="I24" i="21"/>
  <c r="E42" i="21"/>
  <c r="X28" i="21"/>
  <c r="Q54" i="21"/>
  <c r="D10" i="21"/>
  <c r="P47" i="21"/>
  <c r="P39" i="21"/>
  <c r="O47" i="21"/>
  <c r="W85" i="32"/>
  <c r="O49" i="33"/>
  <c r="O37" i="21"/>
  <c r="T17" i="33"/>
  <c r="C140" i="33"/>
  <c r="U10" i="28"/>
  <c r="K17" i="28"/>
  <c r="D8" i="33"/>
  <c r="I27" i="28"/>
  <c r="K15" i="28"/>
  <c r="U61" i="21"/>
  <c r="T17" i="32"/>
  <c r="U8" i="33"/>
  <c r="K17" i="33"/>
  <c r="D8" i="21"/>
  <c r="D11" i="21"/>
  <c r="K33" i="21"/>
  <c r="X57" i="21"/>
  <c r="F8" i="32"/>
  <c r="R8" i="28"/>
  <c r="L8" i="21"/>
  <c r="Q30" i="21"/>
  <c r="X76" i="28"/>
  <c r="D122" i="28"/>
  <c r="X16" i="28"/>
  <c r="R37" i="28"/>
  <c r="R23" i="28"/>
  <c r="F9" i="21"/>
  <c r="R9" i="28"/>
  <c r="I24" i="28"/>
  <c r="O67" i="21"/>
  <c r="I58" i="21"/>
  <c r="Q65" i="21"/>
  <c r="Q45" i="21"/>
  <c r="K45" i="21"/>
  <c r="W47" i="21"/>
  <c r="O49" i="32"/>
  <c r="K47" i="21"/>
  <c r="K35" i="28"/>
  <c r="C140" i="32"/>
  <c r="D8" i="32"/>
  <c r="P9" i="28"/>
  <c r="U22" i="21"/>
  <c r="R45" i="21"/>
  <c r="O30" i="32"/>
  <c r="L9" i="28"/>
  <c r="R37" i="21"/>
  <c r="L67" i="21"/>
  <c r="R9" i="32"/>
  <c r="D122" i="32"/>
  <c r="C162" i="28"/>
  <c r="L57" i="21"/>
  <c r="F9" i="28"/>
  <c r="P15" i="28"/>
  <c r="O25" i="28"/>
  <c r="Q18" i="33"/>
  <c r="T13" i="32"/>
  <c r="T15" i="32"/>
  <c r="P21" i="32"/>
  <c r="O24" i="28"/>
  <c r="Q12" i="33"/>
  <c r="Q85" i="28"/>
  <c r="W15" i="33"/>
  <c r="O32" i="21"/>
  <c r="Q51" i="21"/>
  <c r="Q24" i="32"/>
  <c r="U24" i="32"/>
  <c r="R21" i="21"/>
  <c r="W11" i="32"/>
  <c r="W28" i="32"/>
  <c r="Q199" i="28"/>
  <c r="Q34" i="28"/>
  <c r="O15" i="32"/>
  <c r="U18" i="21"/>
  <c r="O28" i="28"/>
  <c r="P32" i="21"/>
  <c r="H27" i="28"/>
  <c r="W12" i="32"/>
  <c r="W18" i="21"/>
  <c r="X91" i="28"/>
  <c r="X49" i="28"/>
  <c r="O58" i="28"/>
  <c r="X20" i="28"/>
  <c r="X10" i="28"/>
  <c r="W27" i="28"/>
  <c r="L58" i="28"/>
  <c r="U20" i="28"/>
  <c r="R10" i="28"/>
  <c r="H19" i="28"/>
  <c r="Q58" i="28"/>
  <c r="L20" i="28"/>
  <c r="P14" i="28"/>
  <c r="U15" i="21"/>
  <c r="U62" i="21"/>
  <c r="F57" i="21"/>
  <c r="U31" i="21"/>
  <c r="X54" i="21"/>
  <c r="P37" i="21"/>
  <c r="W65" i="21"/>
  <c r="L58" i="21"/>
  <c r="R48" i="21"/>
  <c r="I28" i="21"/>
  <c r="K62" i="21"/>
  <c r="R36" i="21"/>
  <c r="W44" i="21"/>
  <c r="L47" i="21"/>
  <c r="Q62" i="21"/>
  <c r="R47" i="21"/>
  <c r="X48" i="21"/>
  <c r="I42" i="21"/>
  <c r="X66" i="21"/>
  <c r="L62" i="21"/>
  <c r="T14" i="21"/>
  <c r="W100" i="28"/>
  <c r="L55" i="28"/>
  <c r="X30" i="28"/>
  <c r="X19" i="28"/>
  <c r="F24" i="28"/>
  <c r="W30" i="28"/>
  <c r="W19" i="28"/>
  <c r="C19" i="28"/>
  <c r="K58" i="28"/>
  <c r="U19" i="28"/>
  <c r="I14" i="28"/>
  <c r="X20" i="21"/>
  <c r="R65" i="21"/>
  <c r="F58" i="21"/>
  <c r="X35" i="21"/>
  <c r="T62" i="21"/>
  <c r="W38" i="21"/>
  <c r="L10" i="21"/>
  <c r="F40" i="21"/>
  <c r="W51" i="21"/>
  <c r="I54" i="21"/>
  <c r="X18" i="21"/>
  <c r="X64" i="21"/>
  <c r="X61" i="21"/>
  <c r="K54" i="21"/>
  <c r="K66" i="21"/>
  <c r="T54" i="21"/>
  <c r="L54" i="21"/>
  <c r="L31" i="21"/>
  <c r="F12" i="21"/>
  <c r="U117" i="28"/>
  <c r="X57" i="28"/>
  <c r="R30" i="28"/>
  <c r="R19" i="28"/>
  <c r="I20" i="28"/>
  <c r="Q30" i="28"/>
  <c r="Q19" i="28"/>
  <c r="X12" i="28"/>
  <c r="L17" i="28"/>
  <c r="U30" i="28"/>
  <c r="P19" i="28"/>
  <c r="X11" i="28"/>
  <c r="W27" i="21"/>
  <c r="F60" i="21"/>
  <c r="W64" i="21"/>
  <c r="K51" i="21"/>
  <c r="U42" i="21"/>
  <c r="L18" i="21"/>
  <c r="X10" i="21"/>
  <c r="R56" i="21"/>
  <c r="L61" i="21"/>
  <c r="X46" i="21"/>
  <c r="L38" i="21"/>
  <c r="R64" i="21"/>
  <c r="H62" i="21"/>
  <c r="X13" i="21"/>
  <c r="R12" i="21"/>
  <c r="R57" i="21"/>
  <c r="I62" i="21"/>
  <c r="L48" i="21"/>
  <c r="X31" i="21"/>
  <c r="H117" i="28"/>
  <c r="T140" i="28"/>
  <c r="U57" i="28"/>
  <c r="L167" i="28"/>
  <c r="R122" i="28"/>
  <c r="O143" i="28"/>
  <c r="L30" i="28"/>
  <c r="L19" i="28"/>
  <c r="L11" i="28"/>
  <c r="K30" i="28"/>
  <c r="K19" i="28"/>
  <c r="I15" i="28"/>
  <c r="P30" i="28"/>
  <c r="I19" i="28"/>
  <c r="U58" i="28"/>
  <c r="X36" i="21"/>
  <c r="L17" i="21"/>
  <c r="R40" i="21"/>
  <c r="L32" i="21"/>
  <c r="F37" i="21"/>
  <c r="X47" i="21"/>
  <c r="L27" i="21"/>
  <c r="U28" i="21"/>
  <c r="R60" i="21"/>
  <c r="L64" i="21"/>
  <c r="R62" i="21"/>
  <c r="R66" i="21"/>
  <c r="I57" i="32"/>
  <c r="K143" i="33"/>
  <c r="H30" i="33"/>
  <c r="T117" i="33"/>
  <c r="L125" i="32"/>
  <c r="X125" i="32"/>
  <c r="E143" i="32"/>
  <c r="E133" i="32"/>
  <c r="T143" i="32"/>
  <c r="D180" i="32"/>
  <c r="I115" i="28"/>
  <c r="L198" i="28"/>
  <c r="U127" i="28"/>
  <c r="H73" i="21"/>
  <c r="W76" i="21"/>
  <c r="Q198" i="28"/>
  <c r="E43" i="21"/>
  <c r="C50" i="21"/>
  <c r="W50" i="21"/>
  <c r="I53" i="21"/>
  <c r="H167" i="28"/>
  <c r="L91" i="28"/>
  <c r="F48" i="28"/>
  <c r="X32" i="28"/>
  <c r="K100" i="28"/>
  <c r="R145" i="28"/>
  <c r="H183" i="28"/>
  <c r="R91" i="28"/>
  <c r="X52" i="28"/>
  <c r="W160" i="28"/>
  <c r="I183" i="28"/>
  <c r="T117" i="28"/>
  <c r="L35" i="28"/>
  <c r="U145" i="28"/>
  <c r="X167" i="28"/>
  <c r="X136" i="28"/>
  <c r="T143" i="28"/>
  <c r="Q143" i="28"/>
  <c r="W52" i="33"/>
  <c r="F123" i="33"/>
  <c r="R19" i="33"/>
  <c r="L19" i="33"/>
  <c r="X117" i="32"/>
  <c r="T30" i="32"/>
  <c r="F123" i="32"/>
  <c r="U58" i="32"/>
  <c r="R19" i="32"/>
  <c r="U180" i="32"/>
  <c r="R115" i="28"/>
  <c r="H180" i="28"/>
  <c r="R182" i="28"/>
  <c r="W70" i="21"/>
  <c r="K70" i="21"/>
  <c r="U50" i="21"/>
  <c r="H43" i="21"/>
  <c r="T50" i="21"/>
  <c r="F52" i="21"/>
  <c r="I59" i="21"/>
  <c r="T167" i="28"/>
  <c r="K117" i="28"/>
  <c r="F52" i="28"/>
  <c r="L48" i="28"/>
  <c r="L121" i="28"/>
  <c r="X145" i="28"/>
  <c r="R183" i="28"/>
  <c r="K107" i="28"/>
  <c r="F133" i="28"/>
  <c r="Q49" i="28"/>
  <c r="R162" i="28"/>
  <c r="R85" i="28"/>
  <c r="X48" i="28"/>
  <c r="X143" i="28"/>
  <c r="T58" i="28"/>
  <c r="U22" i="28"/>
  <c r="L12" i="28"/>
  <c r="O30" i="28"/>
  <c r="R58" i="28"/>
  <c r="I22" i="28"/>
  <c r="F12" i="28"/>
  <c r="O19" i="28"/>
  <c r="W58" i="28"/>
  <c r="W21" i="28"/>
  <c r="U14" i="28"/>
  <c r="P60" i="21"/>
  <c r="F38" i="21"/>
  <c r="D62" i="21"/>
  <c r="X37" i="21"/>
  <c r="X32" i="21"/>
  <c r="W62" i="21"/>
  <c r="H54" i="21"/>
  <c r="X42" i="21"/>
  <c r="I20" i="21"/>
  <c r="L37" i="21"/>
  <c r="U20" i="21"/>
  <c r="L40" i="21"/>
  <c r="D60" i="21"/>
  <c r="U14" i="21"/>
  <c r="R179" i="33"/>
  <c r="O180" i="32"/>
  <c r="R52" i="21"/>
  <c r="R160" i="28"/>
  <c r="I187" i="28"/>
  <c r="K199" i="28"/>
  <c r="W143" i="28"/>
  <c r="L143" i="28"/>
  <c r="X58" i="28"/>
  <c r="X27" i="28"/>
  <c r="U54" i="21"/>
  <c r="X27" i="21"/>
  <c r="Q37" i="21"/>
  <c r="I15" i="21"/>
  <c r="L20" i="21"/>
  <c r="K44" i="21"/>
  <c r="P62" i="21"/>
  <c r="F64" i="21"/>
  <c r="X58" i="21"/>
  <c r="O41" i="21"/>
  <c r="U68" i="21"/>
  <c r="C19" i="21"/>
  <c r="T69" i="21"/>
  <c r="H30" i="21"/>
  <c r="W63" i="21"/>
  <c r="R30" i="21"/>
  <c r="P63" i="21"/>
  <c r="U41" i="21"/>
  <c r="P56" i="28"/>
  <c r="P40" i="21"/>
  <c r="L122" i="32"/>
  <c r="F26" i="33"/>
  <c r="L123" i="33"/>
  <c r="O164" i="28"/>
  <c r="D10" i="33"/>
  <c r="R11" i="32"/>
  <c r="K183" i="33"/>
  <c r="F115" i="28"/>
  <c r="R53" i="21"/>
  <c r="X183" i="28"/>
  <c r="F122" i="28"/>
  <c r="H140" i="28"/>
  <c r="E143" i="28"/>
  <c r="I28" i="28"/>
  <c r="P58" i="28"/>
  <c r="L24" i="28"/>
  <c r="R38" i="21"/>
  <c r="I14" i="21"/>
  <c r="R51" i="21"/>
  <c r="X38" i="21"/>
  <c r="K49" i="21"/>
  <c r="L35" i="21"/>
  <c r="L66" i="21"/>
  <c r="W66" i="21"/>
  <c r="X12" i="21"/>
  <c r="W41" i="21"/>
  <c r="K30" i="21"/>
  <c r="D19" i="21"/>
  <c r="L30" i="21"/>
  <c r="H69" i="21"/>
  <c r="U69" i="21"/>
  <c r="R63" i="21"/>
  <c r="X63" i="21"/>
  <c r="Q63" i="21"/>
  <c r="P56" i="33"/>
  <c r="W40" i="21"/>
  <c r="W78" i="28"/>
  <c r="R18" i="32"/>
  <c r="K133" i="28"/>
  <c r="L123" i="32"/>
  <c r="O164" i="32"/>
  <c r="D10" i="32"/>
  <c r="P28" i="33"/>
  <c r="I16" i="33"/>
  <c r="Q122" i="33"/>
  <c r="K180" i="33"/>
  <c r="R75" i="21"/>
  <c r="Q50" i="21"/>
  <c r="L117" i="28"/>
  <c r="R123" i="28"/>
  <c r="L34" i="28"/>
  <c r="U28" i="28"/>
  <c r="K27" i="28"/>
  <c r="K21" i="28"/>
  <c r="D19" i="28"/>
  <c r="R42" i="21"/>
  <c r="L42" i="21"/>
  <c r="X55" i="21"/>
  <c r="X62" i="21"/>
  <c r="F51" i="21"/>
  <c r="K65" i="21"/>
  <c r="L13" i="21"/>
  <c r="F10" i="21"/>
  <c r="L33" i="21"/>
  <c r="T19" i="21"/>
  <c r="I41" i="21"/>
  <c r="I30" i="21"/>
  <c r="K41" i="21"/>
  <c r="O19" i="21"/>
  <c r="H19" i="21"/>
  <c r="R68" i="21"/>
  <c r="W67" i="21"/>
  <c r="X67" i="21"/>
  <c r="P56" i="32"/>
  <c r="Q22" i="32"/>
  <c r="K133" i="33"/>
  <c r="X123" i="33"/>
  <c r="F79" i="33"/>
  <c r="P55" i="28"/>
  <c r="W121" i="32"/>
  <c r="P117" i="33"/>
  <c r="Q122" i="32"/>
  <c r="K30" i="32"/>
  <c r="Q180" i="28"/>
  <c r="F183" i="28"/>
  <c r="L57" i="28"/>
  <c r="R48" i="28"/>
  <c r="K143" i="28"/>
  <c r="L27" i="28"/>
  <c r="L10" i="28"/>
  <c r="R24" i="28"/>
  <c r="T19" i="28"/>
  <c r="X17" i="28"/>
  <c r="W49" i="21"/>
  <c r="L55" i="21"/>
  <c r="Q60" i="21"/>
  <c r="X65" i="21"/>
  <c r="E60" i="21"/>
  <c r="X17" i="21"/>
  <c r="K21" i="21"/>
  <c r="F65" i="21"/>
  <c r="F56" i="21"/>
  <c r="U30" i="21"/>
  <c r="H63" i="21"/>
  <c r="U19" i="21"/>
  <c r="I63" i="21"/>
  <c r="W19" i="21"/>
  <c r="L41" i="21"/>
  <c r="L19" i="21"/>
  <c r="W69" i="21"/>
  <c r="K19" i="21"/>
  <c r="O56" i="28"/>
  <c r="L198" i="32"/>
  <c r="K71" i="21"/>
  <c r="F123" i="28"/>
  <c r="I59" i="28"/>
  <c r="F49" i="28"/>
  <c r="R143" i="28"/>
  <c r="X24" i="28"/>
  <c r="F143" i="28"/>
  <c r="E19" i="28"/>
  <c r="T14" i="28"/>
  <c r="U15" i="28"/>
  <c r="F36" i="21"/>
  <c r="I35" i="21"/>
  <c r="L11" i="21"/>
  <c r="X11" i="21"/>
  <c r="F47" i="21"/>
  <c r="X24" i="21"/>
  <c r="L36" i="21"/>
  <c r="W54" i="21"/>
  <c r="P41" i="21"/>
  <c r="I69" i="21"/>
  <c r="O30" i="21"/>
  <c r="K69" i="21"/>
  <c r="P30" i="21"/>
  <c r="K63" i="21"/>
  <c r="P19" i="21"/>
  <c r="I19" i="21"/>
  <c r="I68" i="21"/>
  <c r="K78" i="28"/>
  <c r="C79" i="33"/>
  <c r="F121" i="33"/>
  <c r="D136" i="33"/>
  <c r="W26" i="33"/>
  <c r="X28" i="33"/>
  <c r="E59" i="28"/>
  <c r="P55" i="32"/>
  <c r="X122" i="33"/>
  <c r="I125" i="33"/>
  <c r="D122" i="33"/>
  <c r="E187" i="33"/>
  <c r="U26" i="33"/>
  <c r="R28" i="32"/>
  <c r="I24" i="32"/>
  <c r="E15" i="32"/>
  <c r="L85" i="32"/>
  <c r="F179" i="28"/>
  <c r="W52" i="28"/>
  <c r="L162" i="28"/>
  <c r="K160" i="28"/>
  <c r="P143" i="28"/>
  <c r="F19" i="28"/>
  <c r="I58" i="28"/>
  <c r="L18" i="28"/>
  <c r="F10" i="28"/>
  <c r="T30" i="28"/>
  <c r="K27" i="21"/>
  <c r="F66" i="21"/>
  <c r="L39" i="21"/>
  <c r="F24" i="21"/>
  <c r="R24" i="21"/>
  <c r="F62" i="21"/>
  <c r="U35" i="21"/>
  <c r="L65" i="21"/>
  <c r="X41" i="21"/>
  <c r="E19" i="21"/>
  <c r="W30" i="21"/>
  <c r="F19" i="21"/>
  <c r="X30" i="21"/>
  <c r="K67" i="21"/>
  <c r="X19" i="21"/>
  <c r="L63" i="21"/>
  <c r="Q76" i="28"/>
  <c r="O162" i="33"/>
  <c r="F121" i="32"/>
  <c r="D136" i="32"/>
  <c r="W26" i="32"/>
  <c r="E59" i="33"/>
  <c r="P32" i="28"/>
  <c r="U55" i="32"/>
  <c r="W162" i="32"/>
  <c r="P43" i="21"/>
  <c r="P133" i="28"/>
  <c r="T183" i="28"/>
  <c r="U183" i="28"/>
  <c r="X13" i="28"/>
  <c r="I143" i="28"/>
  <c r="I30" i="28"/>
  <c r="R12" i="28"/>
  <c r="I64" i="21"/>
  <c r="W21" i="21"/>
  <c r="X33" i="21"/>
  <c r="U64" i="21"/>
  <c r="L12" i="21"/>
  <c r="L24" i="21"/>
  <c r="X45" i="21"/>
  <c r="F48" i="21"/>
  <c r="X40" i="21"/>
  <c r="T30" i="21"/>
  <c r="R67" i="21"/>
  <c r="F67" i="21"/>
  <c r="U63" i="21"/>
  <c r="X69" i="21"/>
  <c r="O63" i="21"/>
  <c r="F63" i="21"/>
  <c r="T41" i="21"/>
  <c r="Q19" i="21"/>
  <c r="W56" i="28"/>
  <c r="P76" i="28"/>
  <c r="K187" i="33"/>
  <c r="L122" i="33"/>
  <c r="L123" i="28"/>
  <c r="W122" i="32"/>
  <c r="D10" i="28"/>
  <c r="R11" i="33"/>
  <c r="W48" i="32"/>
  <c r="O167" i="32"/>
  <c r="I162" i="33"/>
  <c r="P107" i="28"/>
  <c r="D29" i="32"/>
  <c r="R17" i="21"/>
  <c r="C8" i="28"/>
  <c r="C8" i="33"/>
  <c r="P21" i="21"/>
  <c r="P22" i="28"/>
  <c r="R11" i="28"/>
  <c r="R57" i="28"/>
  <c r="I48" i="21"/>
  <c r="Q15" i="32"/>
  <c r="C162" i="32"/>
  <c r="E187" i="32"/>
  <c r="Q122" i="28"/>
  <c r="P32" i="33"/>
  <c r="Q117" i="32"/>
  <c r="L69" i="21"/>
  <c r="L13" i="28"/>
  <c r="R11" i="21"/>
  <c r="W36" i="21"/>
  <c r="P183" i="28"/>
  <c r="E15" i="33"/>
  <c r="C162" i="33"/>
  <c r="Q164" i="32"/>
  <c r="O160" i="28"/>
  <c r="P55" i="33"/>
  <c r="R13" i="28"/>
  <c r="R41" i="21"/>
  <c r="K38" i="21"/>
  <c r="F42" i="21"/>
  <c r="U143" i="28"/>
  <c r="R26" i="32"/>
  <c r="F68" i="21"/>
  <c r="L46" i="21"/>
  <c r="X160" i="28"/>
  <c r="C20" i="12"/>
  <c r="I46" i="21"/>
  <c r="C66" i="21"/>
  <c r="W48" i="28"/>
  <c r="E187" i="28"/>
  <c r="R17" i="32"/>
  <c r="D29" i="33"/>
  <c r="L166" i="32"/>
  <c r="Q164" i="28"/>
  <c r="I125" i="28"/>
  <c r="F79" i="32"/>
  <c r="L122" i="28"/>
  <c r="X26" i="32"/>
  <c r="X16" i="32"/>
  <c r="Q41" i="21"/>
  <c r="E62" i="21"/>
  <c r="R10" i="21"/>
  <c r="F164" i="28"/>
  <c r="W16" i="32"/>
  <c r="U65" i="21"/>
  <c r="F121" i="28"/>
  <c r="R17" i="33"/>
  <c r="D29" i="28"/>
  <c r="L166" i="33"/>
  <c r="I162" i="32"/>
  <c r="I16" i="32"/>
  <c r="W122" i="28"/>
  <c r="R27" i="32"/>
  <c r="E63" i="21"/>
  <c r="X39" i="21"/>
  <c r="K46" i="21"/>
  <c r="H30" i="28"/>
  <c r="X55" i="28"/>
  <c r="I16" i="28"/>
  <c r="I66" i="21"/>
  <c r="X28" i="28"/>
  <c r="R27" i="21"/>
  <c r="X123" i="28"/>
  <c r="R37" i="32"/>
  <c r="L166" i="28"/>
  <c r="I162" i="28"/>
  <c r="W48" i="33"/>
  <c r="X123" i="32"/>
  <c r="T63" i="21"/>
  <c r="H143" i="28"/>
  <c r="X18" i="28"/>
  <c r="L53" i="21"/>
  <c r="P22" i="21"/>
  <c r="Q136" i="32"/>
  <c r="T26" i="32"/>
  <c r="R167" i="32"/>
  <c r="O32" i="32"/>
  <c r="Q145" i="28"/>
  <c r="Q27" i="28"/>
  <c r="R29" i="21"/>
  <c r="W121" i="28"/>
  <c r="O167" i="33"/>
  <c r="U91" i="32"/>
  <c r="R78" i="28"/>
  <c r="P67" i="21"/>
  <c r="O125" i="28"/>
  <c r="Q59" i="32"/>
  <c r="T35" i="21"/>
  <c r="P28" i="32"/>
  <c r="P29" i="33"/>
  <c r="O122" i="32"/>
  <c r="P85" i="28"/>
  <c r="Q37" i="33"/>
  <c r="Q74" i="21"/>
  <c r="P10" i="21"/>
  <c r="W23" i="21"/>
  <c r="R57" i="32"/>
  <c r="R28" i="33"/>
  <c r="R15" i="21"/>
  <c r="X22" i="33"/>
  <c r="R121" i="32"/>
  <c r="I79" i="33"/>
  <c r="Q79" i="33"/>
  <c r="P37" i="32"/>
  <c r="F59" i="28"/>
  <c r="L164" i="28"/>
  <c r="I117" i="28"/>
  <c r="X117" i="28"/>
  <c r="X187" i="28"/>
  <c r="K162" i="28"/>
  <c r="P140" i="28"/>
  <c r="R56" i="28"/>
  <c r="I57" i="28"/>
  <c r="F125" i="28"/>
  <c r="L183" i="28"/>
  <c r="D52" i="21"/>
  <c r="Q52" i="21"/>
  <c r="U53" i="21"/>
  <c r="X43" i="21"/>
  <c r="W43" i="21"/>
  <c r="K179" i="28"/>
  <c r="L77" i="21"/>
  <c r="L71" i="21"/>
  <c r="L74" i="21"/>
  <c r="P179" i="32"/>
  <c r="H143" i="32"/>
  <c r="F145" i="32"/>
  <c r="K58" i="32"/>
  <c r="W198" i="32"/>
  <c r="U30" i="32"/>
  <c r="K100" i="33"/>
  <c r="L58" i="33"/>
  <c r="R180" i="33"/>
  <c r="U14" i="32"/>
  <c r="W167" i="28"/>
  <c r="F160" i="28"/>
  <c r="X34" i="28"/>
  <c r="X85" i="28"/>
  <c r="U167" i="28"/>
  <c r="R52" i="28"/>
  <c r="X79" i="28"/>
  <c r="X140" i="28"/>
  <c r="U32" i="28"/>
  <c r="U85" i="28"/>
  <c r="W162" i="28"/>
  <c r="K52" i="21"/>
  <c r="F53" i="21"/>
  <c r="R43" i="21"/>
  <c r="L59" i="21"/>
  <c r="L72" i="21"/>
  <c r="K77" i="21"/>
  <c r="X198" i="28"/>
  <c r="L127" i="28"/>
  <c r="O180" i="28"/>
  <c r="T180" i="32"/>
  <c r="O180" i="33"/>
  <c r="L145" i="32"/>
  <c r="H30" i="32"/>
  <c r="W143" i="32"/>
  <c r="U143" i="32"/>
  <c r="U140" i="32"/>
  <c r="L160" i="33"/>
  <c r="T30" i="33"/>
  <c r="L164" i="33"/>
  <c r="X13" i="32"/>
  <c r="U166" i="28"/>
  <c r="U56" i="28"/>
  <c r="L140" i="28"/>
  <c r="F91" i="28"/>
  <c r="K167" i="28"/>
  <c r="I145" i="28"/>
  <c r="R140" i="28"/>
  <c r="L79" i="28"/>
  <c r="I166" i="28"/>
  <c r="R49" i="28"/>
  <c r="X59" i="28"/>
  <c r="K140" i="28"/>
  <c r="Q140" i="28"/>
  <c r="F85" i="28"/>
  <c r="W145" i="28"/>
  <c r="X53" i="21"/>
  <c r="H50" i="21"/>
  <c r="R50" i="21"/>
  <c r="F50" i="21"/>
  <c r="F73" i="21"/>
  <c r="R72" i="21"/>
  <c r="X74" i="21"/>
  <c r="F71" i="21"/>
  <c r="F180" i="28"/>
  <c r="P180" i="33"/>
  <c r="U180" i="33"/>
  <c r="X19" i="32"/>
  <c r="R133" i="32"/>
  <c r="W160" i="32"/>
  <c r="R180" i="32"/>
  <c r="L143" i="32"/>
  <c r="W162" i="33"/>
  <c r="U117" i="33"/>
  <c r="X34" i="32"/>
  <c r="X164" i="28"/>
  <c r="F56" i="28"/>
  <c r="F140" i="28"/>
  <c r="L85" i="28"/>
  <c r="R166" i="28"/>
  <c r="L49" i="28"/>
  <c r="E140" i="28"/>
  <c r="R59" i="28"/>
  <c r="K164" i="28"/>
  <c r="X35" i="28"/>
  <c r="L187" i="28"/>
  <c r="R133" i="28"/>
  <c r="Q133" i="28"/>
  <c r="K79" i="28"/>
  <c r="L145" i="28"/>
  <c r="D50" i="21"/>
  <c r="T52" i="21"/>
  <c r="C43" i="21"/>
  <c r="K43" i="21"/>
  <c r="Q71" i="21"/>
  <c r="I180" i="28"/>
  <c r="T71" i="21"/>
  <c r="L73" i="21"/>
  <c r="I127" i="28"/>
  <c r="I180" i="33"/>
  <c r="I140" i="32"/>
  <c r="F19" i="32"/>
  <c r="X183" i="32"/>
  <c r="F164" i="32"/>
  <c r="X187" i="32"/>
  <c r="X164" i="32"/>
  <c r="L180" i="33"/>
  <c r="X145" i="33"/>
  <c r="L35" i="32"/>
  <c r="R164" i="28"/>
  <c r="L52" i="28"/>
  <c r="L136" i="28"/>
  <c r="U59" i="28"/>
  <c r="W164" i="28"/>
  <c r="U140" i="28"/>
  <c r="X121" i="28"/>
  <c r="W199" i="28"/>
  <c r="X162" i="28"/>
  <c r="L32" i="28"/>
  <c r="K183" i="28"/>
  <c r="E133" i="28"/>
  <c r="D133" i="28"/>
  <c r="L59" i="28"/>
  <c r="F145" i="28"/>
  <c r="P52" i="21"/>
  <c r="U52" i="21"/>
  <c r="L52" i="21"/>
  <c r="U43" i="21"/>
  <c r="U74" i="21"/>
  <c r="R180" i="28"/>
  <c r="X71" i="21"/>
  <c r="H71" i="21"/>
  <c r="U73" i="21"/>
  <c r="Q180" i="32"/>
  <c r="L19" i="32"/>
  <c r="L30" i="32"/>
  <c r="U19" i="32"/>
  <c r="L179" i="32"/>
  <c r="I19" i="32"/>
  <c r="Q30" i="33"/>
  <c r="F183" i="33"/>
  <c r="K162" i="33"/>
  <c r="O22" i="33"/>
  <c r="O22" i="21"/>
  <c r="O22" i="28"/>
  <c r="O22" i="32"/>
  <c r="T21" i="32"/>
  <c r="T21" i="28"/>
  <c r="U160" i="33"/>
  <c r="Q78" i="32"/>
  <c r="X121" i="32"/>
  <c r="X91" i="32"/>
  <c r="W19" i="32"/>
  <c r="W199" i="32"/>
  <c r="K164" i="32"/>
  <c r="E140" i="32"/>
  <c r="W183" i="32"/>
  <c r="F180" i="32"/>
  <c r="L162" i="32"/>
  <c r="T140" i="32"/>
  <c r="W117" i="32"/>
  <c r="P30" i="32"/>
  <c r="X162" i="32"/>
  <c r="P58" i="32"/>
  <c r="I58" i="32"/>
  <c r="F162" i="32"/>
  <c r="L20" i="33"/>
  <c r="X11" i="32"/>
  <c r="R56" i="32"/>
  <c r="K27" i="32"/>
  <c r="F10" i="32"/>
  <c r="L57" i="32"/>
  <c r="X27" i="32"/>
  <c r="X10" i="32"/>
  <c r="W52" i="32"/>
  <c r="I20" i="32"/>
  <c r="T14" i="33"/>
  <c r="F180" i="33"/>
  <c r="L162" i="33"/>
  <c r="T140" i="33"/>
  <c r="K117" i="33"/>
  <c r="P30" i="33"/>
  <c r="R30" i="33"/>
  <c r="R162" i="33"/>
  <c r="U115" i="33"/>
  <c r="R198" i="33"/>
  <c r="K179" i="33"/>
  <c r="P140" i="32"/>
  <c r="L117" i="32"/>
  <c r="X58" i="32"/>
  <c r="K19" i="32"/>
  <c r="R183" i="32"/>
  <c r="X145" i="32"/>
  <c r="R122" i="32"/>
  <c r="F198" i="32"/>
  <c r="W167" i="32"/>
  <c r="F160" i="32"/>
  <c r="F140" i="32"/>
  <c r="R115" i="32"/>
  <c r="D19" i="32"/>
  <c r="I143" i="32"/>
  <c r="H19" i="32"/>
  <c r="O19" i="32"/>
  <c r="W140" i="32"/>
  <c r="X30" i="32"/>
  <c r="Q140" i="32"/>
  <c r="R123" i="32"/>
  <c r="T117" i="32"/>
  <c r="X115" i="33"/>
  <c r="C180" i="32"/>
  <c r="L115" i="32"/>
  <c r="T180" i="33"/>
  <c r="K73" i="21"/>
  <c r="I77" i="21"/>
  <c r="U180" i="28"/>
  <c r="X72" i="21"/>
  <c r="R198" i="28"/>
  <c r="D127" i="28"/>
  <c r="W71" i="21"/>
  <c r="W75" i="21"/>
  <c r="W73" i="21"/>
  <c r="K75" i="21"/>
  <c r="F70" i="21"/>
  <c r="W77" i="21"/>
  <c r="I50" i="21"/>
  <c r="X167" i="33"/>
  <c r="X117" i="33"/>
  <c r="L198" i="33"/>
  <c r="F179" i="33"/>
  <c r="F145" i="33"/>
  <c r="Q133" i="33"/>
  <c r="F107" i="33"/>
  <c r="U145" i="33"/>
  <c r="X198" i="32"/>
  <c r="R179" i="32"/>
  <c r="K160" i="32"/>
  <c r="H140" i="32"/>
  <c r="U115" i="32"/>
  <c r="R58" i="32"/>
  <c r="E19" i="32"/>
  <c r="L182" i="32"/>
  <c r="R145" i="32"/>
  <c r="I117" i="32"/>
  <c r="I187" i="32"/>
  <c r="K167" i="32"/>
  <c r="I145" i="32"/>
  <c r="L136" i="32"/>
  <c r="F91" i="32"/>
  <c r="R198" i="32"/>
  <c r="R140" i="32"/>
  <c r="U187" i="32"/>
  <c r="K199" i="32"/>
  <c r="Q133" i="32"/>
  <c r="L180" i="32"/>
  <c r="D133" i="32"/>
  <c r="F85" i="32"/>
  <c r="F107" i="32"/>
  <c r="C180" i="33"/>
  <c r="I180" i="32"/>
  <c r="H180" i="32"/>
  <c r="I187" i="33"/>
  <c r="K167" i="33"/>
  <c r="I145" i="33"/>
  <c r="L136" i="33"/>
  <c r="L85" i="33"/>
  <c r="P19" i="33"/>
  <c r="K198" i="33"/>
  <c r="L143" i="33"/>
  <c r="R58" i="33"/>
  <c r="R183" i="33"/>
  <c r="I166" i="33"/>
  <c r="P143" i="33"/>
  <c r="X125" i="33"/>
  <c r="U58" i="33"/>
  <c r="H19" i="33"/>
  <c r="X164" i="33"/>
  <c r="L117" i="33"/>
  <c r="U187" i="33"/>
  <c r="T167" i="33"/>
  <c r="T143" i="33"/>
  <c r="D133" i="33"/>
  <c r="L91" i="33"/>
  <c r="F143" i="33"/>
  <c r="K198" i="32"/>
  <c r="X167" i="32"/>
  <c r="U145" i="32"/>
  <c r="X136" i="32"/>
  <c r="F115" i="32"/>
  <c r="L58" i="32"/>
  <c r="P133" i="32"/>
  <c r="R107" i="32"/>
  <c r="W30" i="32"/>
  <c r="I30" i="32"/>
  <c r="K179" i="32"/>
  <c r="P143" i="32"/>
  <c r="T19" i="32"/>
  <c r="I183" i="32"/>
  <c r="W164" i="32"/>
  <c r="Q143" i="32"/>
  <c r="I127" i="32"/>
  <c r="W58" i="32"/>
  <c r="H183" i="32"/>
  <c r="L121" i="32"/>
  <c r="U117" i="32"/>
  <c r="F183" i="32"/>
  <c r="I115" i="32"/>
  <c r="H117" i="32"/>
  <c r="L91" i="32"/>
  <c r="F182" i="32"/>
  <c r="D140" i="32"/>
  <c r="P180" i="32"/>
  <c r="X115" i="32"/>
  <c r="E180" i="33"/>
  <c r="L115" i="28"/>
  <c r="U71" i="21"/>
  <c r="F182" i="28"/>
  <c r="I74" i="21"/>
  <c r="I71" i="21"/>
  <c r="P180" i="28"/>
  <c r="T73" i="21"/>
  <c r="F198" i="28"/>
  <c r="P71" i="21"/>
  <c r="X180" i="28"/>
  <c r="R73" i="21"/>
  <c r="U127" i="32"/>
  <c r="W100" i="32"/>
  <c r="Q30" i="32"/>
  <c r="P19" i="32"/>
  <c r="I167" i="32"/>
  <c r="X140" i="32"/>
  <c r="C19" i="32"/>
  <c r="R182" i="32"/>
  <c r="L164" i="32"/>
  <c r="K143" i="32"/>
  <c r="F125" i="32"/>
  <c r="Q58" i="32"/>
  <c r="X179" i="32"/>
  <c r="K107" i="32"/>
  <c r="R91" i="32"/>
  <c r="W179" i="32"/>
  <c r="T58" i="32"/>
  <c r="R30" i="32"/>
  <c r="O58" i="32"/>
  <c r="T167" i="32"/>
  <c r="L115" i="33"/>
  <c r="H180" i="33"/>
  <c r="U115" i="28"/>
  <c r="F77" i="21"/>
  <c r="E180" i="28"/>
  <c r="F72" i="21"/>
  <c r="R77" i="21"/>
  <c r="C180" i="28"/>
  <c r="E71" i="21"/>
  <c r="D180" i="28"/>
  <c r="X77" i="21"/>
  <c r="L182" i="28"/>
  <c r="D71" i="21"/>
  <c r="W198" i="28"/>
  <c r="F75" i="21"/>
  <c r="O45" i="21"/>
  <c r="U160" i="28"/>
  <c r="Q78" i="33"/>
  <c r="O64" i="21"/>
  <c r="W16" i="21"/>
  <c r="Q11" i="21"/>
  <c r="P27" i="21"/>
  <c r="U24" i="33"/>
  <c r="O183" i="33"/>
  <c r="R117" i="32"/>
  <c r="E19" i="33"/>
  <c r="R182" i="33"/>
  <c r="X59" i="32"/>
  <c r="U14" i="33"/>
  <c r="U24" i="21"/>
  <c r="W16" i="28"/>
  <c r="O13" i="21"/>
  <c r="Q12" i="32"/>
  <c r="T16" i="32"/>
  <c r="O35" i="21"/>
  <c r="U12" i="33"/>
  <c r="P28" i="21"/>
  <c r="P24" i="28"/>
  <c r="R27" i="28"/>
  <c r="R117" i="28"/>
  <c r="R117" i="33"/>
  <c r="Q22" i="33"/>
  <c r="W140" i="28"/>
  <c r="W117" i="28"/>
  <c r="K76" i="28"/>
  <c r="F166" i="28"/>
  <c r="C52" i="21"/>
  <c r="K50" i="21"/>
  <c r="T43" i="21"/>
  <c r="U59" i="21"/>
  <c r="L43" i="21"/>
  <c r="I43" i="21"/>
  <c r="P50" i="21"/>
  <c r="D75" i="21"/>
  <c r="L180" i="28"/>
  <c r="T180" i="28"/>
  <c r="P70" i="21"/>
  <c r="L70" i="21"/>
  <c r="R179" i="28"/>
  <c r="X70" i="21"/>
  <c r="R71" i="21"/>
  <c r="X115" i="28"/>
  <c r="D180" i="33"/>
  <c r="H167" i="32"/>
  <c r="W107" i="32"/>
  <c r="F122" i="32"/>
  <c r="X85" i="32"/>
  <c r="K117" i="32"/>
  <c r="R166" i="32"/>
  <c r="K140" i="32"/>
  <c r="Q19" i="32"/>
  <c r="R162" i="32"/>
  <c r="I115" i="33"/>
  <c r="Q19" i="33"/>
  <c r="K107" i="33"/>
  <c r="U127" i="33"/>
  <c r="R12" i="32"/>
  <c r="R48" i="33"/>
  <c r="T160" i="33"/>
  <c r="X26" i="21"/>
  <c r="R26" i="28"/>
  <c r="R54" i="21"/>
  <c r="O73" i="21"/>
  <c r="I79" i="32"/>
  <c r="W23" i="33"/>
  <c r="Q117" i="33"/>
  <c r="W57" i="28"/>
  <c r="I140" i="28"/>
  <c r="W107" i="28"/>
  <c r="U187" i="28"/>
  <c r="F162" i="28"/>
  <c r="H52" i="21"/>
  <c r="E50" i="21"/>
  <c r="O50" i="21"/>
  <c r="W52" i="21"/>
  <c r="Q43" i="21"/>
  <c r="X50" i="21"/>
  <c r="O43" i="21"/>
  <c r="O71" i="21"/>
  <c r="C71" i="21"/>
  <c r="W179" i="28"/>
  <c r="W180" i="28"/>
  <c r="K198" i="28"/>
  <c r="I73" i="21"/>
  <c r="K180" i="28"/>
  <c r="X75" i="21"/>
  <c r="Q198" i="33"/>
  <c r="O143" i="32"/>
  <c r="L160" i="32"/>
  <c r="F166" i="32"/>
  <c r="R160" i="32"/>
  <c r="F133" i="32"/>
  <c r="W180" i="32"/>
  <c r="K162" i="32"/>
  <c r="R85" i="32"/>
  <c r="X180" i="32"/>
  <c r="I140" i="33"/>
  <c r="X136" i="33"/>
  <c r="E140" i="33"/>
  <c r="T58" i="33"/>
  <c r="L59" i="32"/>
  <c r="U21" i="33"/>
  <c r="P55" i="21"/>
  <c r="Q11" i="28"/>
  <c r="U16" i="32"/>
  <c r="T23" i="33"/>
  <c r="X125" i="28"/>
  <c r="L125" i="28"/>
  <c r="W76" i="28"/>
  <c r="I167" i="28"/>
  <c r="X56" i="28"/>
  <c r="R107" i="28"/>
  <c r="K52" i="28"/>
  <c r="L56" i="28"/>
  <c r="D140" i="28"/>
  <c r="F107" i="28"/>
  <c r="W183" i="28"/>
  <c r="L160" i="28"/>
  <c r="I52" i="21"/>
  <c r="O52" i="21"/>
  <c r="E52" i="21"/>
  <c r="X52" i="21"/>
  <c r="D43" i="21"/>
  <c r="L50" i="21"/>
  <c r="F43" i="21"/>
  <c r="K76" i="21"/>
  <c r="X73" i="21"/>
  <c r="P179" i="28"/>
  <c r="X182" i="28"/>
  <c r="X179" i="28"/>
  <c r="L75" i="21"/>
  <c r="L179" i="28"/>
  <c r="R70" i="21"/>
  <c r="E180" i="32"/>
  <c r="Q180" i="33"/>
  <c r="W145" i="32"/>
  <c r="F179" i="32"/>
  <c r="L183" i="32"/>
  <c r="U167" i="32"/>
  <c r="L140" i="32"/>
  <c r="T183" i="32"/>
  <c r="I166" i="32"/>
  <c r="K100" i="32"/>
  <c r="K183" i="32"/>
  <c r="W140" i="33"/>
  <c r="R143" i="33"/>
  <c r="R140" i="33"/>
  <c r="K58" i="33"/>
  <c r="F24" i="32"/>
  <c r="W61" i="21"/>
  <c r="R143" i="32"/>
  <c r="U166" i="32"/>
  <c r="U183" i="32"/>
  <c r="F115" i="33"/>
  <c r="L30" i="33"/>
  <c r="F122" i="33"/>
  <c r="H143" i="33"/>
  <c r="F166" i="33"/>
  <c r="L183" i="33"/>
  <c r="R85" i="33"/>
  <c r="X160" i="33"/>
  <c r="X30" i="33"/>
  <c r="I58" i="33"/>
  <c r="L121" i="33"/>
  <c r="X140" i="33"/>
  <c r="X162" i="33"/>
  <c r="L182" i="33"/>
  <c r="W19" i="33"/>
  <c r="H140" i="33"/>
  <c r="X180" i="33"/>
  <c r="D19" i="33"/>
  <c r="Q58" i="33"/>
  <c r="I127" i="33"/>
  <c r="Q143" i="33"/>
  <c r="W164" i="33"/>
  <c r="I183" i="33"/>
  <c r="X78" i="33"/>
  <c r="W27" i="32"/>
  <c r="F59" i="32"/>
  <c r="U15" i="32"/>
  <c r="L48" i="32"/>
  <c r="K78" i="32"/>
  <c r="I14" i="32"/>
  <c r="R48" i="32"/>
  <c r="K76" i="32"/>
  <c r="X18" i="32"/>
  <c r="F56" i="33"/>
  <c r="L9" i="33"/>
  <c r="X143" i="32"/>
  <c r="L167" i="32"/>
  <c r="L187" i="32"/>
  <c r="P133" i="33"/>
  <c r="F85" i="33"/>
  <c r="R123" i="33"/>
  <c r="O143" i="33"/>
  <c r="H167" i="33"/>
  <c r="W183" i="33"/>
  <c r="W100" i="33"/>
  <c r="R164" i="33"/>
  <c r="C19" i="33"/>
  <c r="P58" i="33"/>
  <c r="R122" i="33"/>
  <c r="I143" i="33"/>
  <c r="K164" i="33"/>
  <c r="H183" i="33"/>
  <c r="K30" i="33"/>
  <c r="U140" i="33"/>
  <c r="U183" i="33"/>
  <c r="I19" i="33"/>
  <c r="W58" i="33"/>
  <c r="F133" i="33"/>
  <c r="W143" i="33"/>
  <c r="R166" i="33"/>
  <c r="T183" i="33"/>
  <c r="U55" i="33"/>
  <c r="L34" i="32"/>
  <c r="U59" i="32"/>
  <c r="X17" i="32"/>
  <c r="Q49" i="32"/>
  <c r="L79" i="32"/>
  <c r="L18" i="32"/>
  <c r="F49" i="32"/>
  <c r="F12" i="32"/>
  <c r="X35" i="32"/>
  <c r="U22" i="33"/>
  <c r="X79" i="32"/>
  <c r="F48" i="32"/>
  <c r="K79" i="32"/>
  <c r="L20" i="32"/>
  <c r="K52" i="32"/>
  <c r="L9" i="32"/>
  <c r="U20" i="32"/>
  <c r="R49" i="32"/>
  <c r="X48" i="32"/>
  <c r="U28" i="33"/>
  <c r="O19" i="33"/>
  <c r="X85" i="33"/>
  <c r="E133" i="33"/>
  <c r="U143" i="33"/>
  <c r="I167" i="33"/>
  <c r="X183" i="33"/>
  <c r="X91" i="33"/>
  <c r="X143" i="33"/>
  <c r="F19" i="33"/>
  <c r="U19" i="33"/>
  <c r="F91" i="33"/>
  <c r="F140" i="33"/>
  <c r="F160" i="33"/>
  <c r="W167" i="33"/>
  <c r="F198" i="33"/>
  <c r="X79" i="33"/>
  <c r="L13" i="32"/>
  <c r="P49" i="32"/>
  <c r="R10" i="32"/>
  <c r="W21" i="32"/>
  <c r="X52" i="32"/>
  <c r="I15" i="32"/>
  <c r="I22" i="32"/>
  <c r="L52" i="32"/>
  <c r="X8" i="32"/>
  <c r="R59" i="32"/>
  <c r="I20" i="33"/>
  <c r="X160" i="32"/>
  <c r="K180" i="32"/>
  <c r="K19" i="33"/>
  <c r="L167" i="33"/>
  <c r="W107" i="33"/>
  <c r="D140" i="33"/>
  <c r="L145" i="33"/>
  <c r="W179" i="33"/>
  <c r="K199" i="33"/>
  <c r="L125" i="33"/>
  <c r="X182" i="33"/>
  <c r="T19" i="33"/>
  <c r="R91" i="33"/>
  <c r="R133" i="33"/>
  <c r="R145" i="33"/>
  <c r="U167" i="33"/>
  <c r="X187" i="33"/>
  <c r="R107" i="33"/>
  <c r="K160" i="33"/>
  <c r="X19" i="33"/>
  <c r="I30" i="33"/>
  <c r="R115" i="33"/>
  <c r="L140" i="33"/>
  <c r="W160" i="33"/>
  <c r="L179" i="33"/>
  <c r="W198" i="33"/>
  <c r="T14" i="32"/>
  <c r="L17" i="32"/>
  <c r="F52" i="32"/>
  <c r="X9" i="32"/>
  <c r="L24" i="32"/>
  <c r="L56" i="32"/>
  <c r="R8" i="32"/>
  <c r="R24" i="32"/>
  <c r="L55" i="32"/>
  <c r="L10" i="32"/>
  <c r="W76" i="32"/>
  <c r="L8" i="33"/>
  <c r="K76" i="33"/>
  <c r="F143" i="32"/>
  <c r="R164" i="32"/>
  <c r="X182" i="32"/>
  <c r="X58" i="33"/>
  <c r="L187" i="33"/>
  <c r="H117" i="33"/>
  <c r="Q140" i="33"/>
  <c r="F162" i="33"/>
  <c r="F182" i="33"/>
  <c r="W30" i="33"/>
  <c r="P140" i="33"/>
  <c r="X198" i="33"/>
  <c r="O30" i="33"/>
  <c r="I117" i="33"/>
  <c r="K140" i="33"/>
  <c r="R160" i="33"/>
  <c r="X179" i="33"/>
  <c r="W199" i="33"/>
  <c r="X121" i="33"/>
  <c r="U166" i="33"/>
  <c r="O58" i="33"/>
  <c r="U30" i="33"/>
  <c r="W117" i="33"/>
  <c r="E143" i="33"/>
  <c r="F164" i="33"/>
  <c r="W180" i="33"/>
  <c r="K21" i="32"/>
  <c r="F56" i="32"/>
  <c r="L12" i="32"/>
  <c r="L32" i="32"/>
  <c r="I59" i="32"/>
  <c r="L11" i="32"/>
  <c r="I28" i="32"/>
  <c r="U57" i="32"/>
  <c r="X12" i="32"/>
  <c r="I15" i="33"/>
  <c r="X52" i="33"/>
  <c r="O117" i="33"/>
  <c r="O54" i="21"/>
  <c r="O117" i="28"/>
  <c r="U55" i="21"/>
  <c r="U121" i="28"/>
  <c r="O21" i="28"/>
  <c r="W136" i="28"/>
  <c r="P13" i="28"/>
  <c r="P16" i="32"/>
  <c r="O31" i="21"/>
  <c r="R22" i="21"/>
  <c r="L27" i="32"/>
  <c r="X55" i="32"/>
  <c r="X35" i="33"/>
  <c r="L34" i="33"/>
  <c r="X8" i="33"/>
  <c r="W76" i="33"/>
  <c r="X13" i="33"/>
  <c r="X34" i="33"/>
  <c r="K78" i="33"/>
  <c r="X49" i="33"/>
  <c r="U20" i="33"/>
  <c r="O23" i="28"/>
  <c r="O107" i="28"/>
  <c r="Q57" i="33"/>
  <c r="W35" i="21"/>
  <c r="R69" i="21"/>
  <c r="Q10" i="28"/>
  <c r="U28" i="32"/>
  <c r="X56" i="32"/>
  <c r="X55" i="33"/>
  <c r="F48" i="33"/>
  <c r="X12" i="33"/>
  <c r="R10" i="33"/>
  <c r="U15" i="33"/>
  <c r="L48" i="33"/>
  <c r="L79" i="33"/>
  <c r="X57" i="33"/>
  <c r="I28" i="33"/>
  <c r="P18" i="32"/>
  <c r="U34" i="21"/>
  <c r="I91" i="33"/>
  <c r="X32" i="32"/>
  <c r="X57" i="32"/>
  <c r="R59" i="33"/>
  <c r="F52" i="33"/>
  <c r="X18" i="33"/>
  <c r="L13" i="33"/>
  <c r="X17" i="33"/>
  <c r="K52" i="33"/>
  <c r="X11" i="33"/>
  <c r="W78" i="33"/>
  <c r="L35" i="33"/>
  <c r="I91" i="28"/>
  <c r="W57" i="32"/>
  <c r="W21" i="33"/>
  <c r="L56" i="33"/>
  <c r="X20" i="33"/>
  <c r="F12" i="33"/>
  <c r="R49" i="33"/>
  <c r="Q49" i="33"/>
  <c r="X20" i="32"/>
  <c r="L49" i="32"/>
  <c r="W78" i="32"/>
  <c r="K21" i="33"/>
  <c r="I57" i="33"/>
  <c r="X48" i="33"/>
  <c r="X9" i="33"/>
  <c r="L24" i="33"/>
  <c r="L57" i="33"/>
  <c r="X24" i="33"/>
  <c r="L11" i="33"/>
  <c r="U57" i="33"/>
  <c r="P16" i="21"/>
  <c r="O26" i="33"/>
  <c r="O10" i="28"/>
  <c r="W34" i="28"/>
  <c r="W32" i="32"/>
  <c r="U22" i="32"/>
  <c r="X49" i="32"/>
  <c r="L10" i="33"/>
  <c r="F24" i="33"/>
  <c r="F59" i="33"/>
  <c r="R52" i="33"/>
  <c r="X10" i="33"/>
  <c r="X27" i="33"/>
  <c r="I59" i="33"/>
  <c r="X32" i="33"/>
  <c r="R12" i="33"/>
  <c r="L59" i="33"/>
  <c r="P16" i="28"/>
  <c r="O27" i="33"/>
  <c r="Q34" i="33"/>
  <c r="Q35" i="21"/>
  <c r="R22" i="28"/>
  <c r="R22" i="33"/>
  <c r="W122" i="33"/>
  <c r="X24" i="32"/>
  <c r="R52" i="32"/>
  <c r="L27" i="33"/>
  <c r="W27" i="33"/>
  <c r="U59" i="33"/>
  <c r="X56" i="33"/>
  <c r="L12" i="33"/>
  <c r="L32" i="33"/>
  <c r="X59" i="33"/>
  <c r="L49" i="33"/>
  <c r="I14" i="33"/>
  <c r="O56" i="33"/>
  <c r="U37" i="33"/>
  <c r="T76" i="21"/>
  <c r="T199" i="33"/>
  <c r="O199" i="33"/>
  <c r="O76" i="21"/>
  <c r="O199" i="28"/>
  <c r="T23" i="32"/>
  <c r="O14" i="21"/>
  <c r="O14" i="33"/>
  <c r="U72" i="21"/>
  <c r="L18" i="33"/>
  <c r="F49" i="33"/>
  <c r="L17" i="33"/>
  <c r="I22" i="33"/>
  <c r="L52" i="33"/>
  <c r="U199" i="33"/>
  <c r="R8" i="33"/>
  <c r="R24" i="33"/>
  <c r="L55" i="33"/>
  <c r="H77" i="21"/>
  <c r="F10" i="33"/>
  <c r="K27" i="33"/>
  <c r="R56" i="33"/>
  <c r="O77" i="21"/>
  <c r="D198" i="32"/>
  <c r="Q198" i="32"/>
  <c r="Q85" i="32"/>
  <c r="P18" i="21"/>
  <c r="W18" i="28"/>
  <c r="P18" i="28"/>
  <c r="O107" i="32"/>
  <c r="W59" i="28"/>
  <c r="W18" i="32"/>
  <c r="O57" i="28"/>
  <c r="O27" i="21"/>
  <c r="U21" i="21"/>
  <c r="Q76" i="21"/>
  <c r="C27" i="32"/>
  <c r="Q85" i="33"/>
  <c r="U21" i="28"/>
  <c r="U21" i="32"/>
  <c r="O136" i="32"/>
  <c r="O107" i="33"/>
  <c r="O25" i="32"/>
  <c r="U37" i="28"/>
  <c r="W18" i="33"/>
  <c r="O27" i="32"/>
  <c r="M29" i="16"/>
  <c r="Q57" i="32"/>
  <c r="P183" i="33"/>
  <c r="Q32" i="33"/>
  <c r="P122" i="28"/>
  <c r="P122" i="33"/>
  <c r="Q162" i="28"/>
  <c r="P78" i="33"/>
  <c r="Q16" i="32"/>
  <c r="T57" i="28"/>
  <c r="T57" i="33"/>
  <c r="P32" i="24"/>
  <c r="P28" i="28"/>
  <c r="R27" i="33"/>
  <c r="O55" i="21"/>
  <c r="O51" i="21"/>
  <c r="O26" i="21"/>
  <c r="O27" i="28"/>
  <c r="U12" i="28"/>
  <c r="Q199" i="33"/>
  <c r="W10" i="28"/>
  <c r="U37" i="32"/>
  <c r="P18" i="33"/>
  <c r="O57" i="33"/>
  <c r="M14" i="16"/>
  <c r="O122" i="28"/>
  <c r="O56" i="21"/>
  <c r="O122" i="33"/>
  <c r="Q28" i="28"/>
  <c r="P23" i="32"/>
  <c r="Q61" i="21"/>
  <c r="Q136" i="33"/>
  <c r="R15" i="33"/>
  <c r="R15" i="28"/>
  <c r="X22" i="21"/>
  <c r="X22" i="28"/>
  <c r="P109" i="38"/>
  <c r="H80" i="39" s="1"/>
  <c r="P65" i="31"/>
  <c r="H16" i="38"/>
  <c r="D11" i="39" s="1"/>
  <c r="L16" i="38"/>
  <c r="F11" i="39" s="1"/>
  <c r="G28" i="38"/>
  <c r="C15" i="39" s="1"/>
  <c r="U28" i="38"/>
  <c r="K15" i="39" s="1"/>
  <c r="U49" i="38"/>
  <c r="K23" i="39" s="1"/>
  <c r="L49" i="38"/>
  <c r="F23" i="39" s="1"/>
  <c r="Q190" i="38"/>
  <c r="I200" i="39" s="1"/>
  <c r="L190" i="38"/>
  <c r="F200" i="39" s="1"/>
  <c r="P190" i="38"/>
  <c r="H200" i="39" s="1"/>
  <c r="J107" i="38"/>
  <c r="Q79" i="39" s="1"/>
  <c r="U78" i="32"/>
  <c r="G107" i="38"/>
  <c r="O79" i="39" s="1"/>
  <c r="W65" i="38"/>
  <c r="X28" i="39" s="1"/>
  <c r="J65" i="38"/>
  <c r="Q28" i="39" s="1"/>
  <c r="G65" i="38"/>
  <c r="O28" i="39" s="1"/>
  <c r="G53" i="38"/>
  <c r="O24" i="39" s="1"/>
  <c r="P53" i="38"/>
  <c r="T24" i="39" s="1"/>
  <c r="R18" i="33"/>
  <c r="H20" i="31"/>
  <c r="J65" i="31"/>
  <c r="H125" i="31"/>
  <c r="P157" i="31"/>
  <c r="J188" i="31"/>
  <c r="P10" i="31"/>
  <c r="H110" i="31"/>
  <c r="J40" i="31"/>
  <c r="J13" i="38"/>
  <c r="E10" i="39" s="1"/>
  <c r="U130" i="38"/>
  <c r="Q103" i="38"/>
  <c r="I77" i="39" s="1"/>
  <c r="W107" i="38"/>
  <c r="Q20" i="38"/>
  <c r="U12" i="39" s="1"/>
  <c r="U65" i="38"/>
  <c r="W28" i="39" s="1"/>
  <c r="P22" i="38"/>
  <c r="H13" i="39" s="1"/>
  <c r="J22" i="38"/>
  <c r="E13" i="39" s="1"/>
  <c r="L22" i="38"/>
  <c r="F13" i="39" s="1"/>
  <c r="H22" i="38"/>
  <c r="D13" i="39" s="1"/>
  <c r="Q37" i="38"/>
  <c r="I18" i="39" s="1"/>
  <c r="G37" i="38"/>
  <c r="C18" i="39" s="1"/>
  <c r="U37" i="38"/>
  <c r="K18" i="39" s="1"/>
  <c r="J43" i="38"/>
  <c r="E21" i="39" s="1"/>
  <c r="W43" i="38"/>
  <c r="L21" i="39" s="1"/>
  <c r="H55" i="38"/>
  <c r="D25" i="39" s="1"/>
  <c r="J55" i="38"/>
  <c r="E25" i="39" s="1"/>
  <c r="L55" i="38"/>
  <c r="F25" i="39" s="1"/>
  <c r="G55" i="38"/>
  <c r="C25" i="39" s="1"/>
  <c r="G67" i="38"/>
  <c r="C29" i="39" s="1"/>
  <c r="P67" i="38"/>
  <c r="H29" i="39" s="1"/>
  <c r="J67" i="38"/>
  <c r="E29" i="39" s="1"/>
  <c r="H67" i="38"/>
  <c r="D29" i="39" s="1"/>
  <c r="J82" i="38"/>
  <c r="E48" i="39" s="1"/>
  <c r="G82" i="38"/>
  <c r="C48" i="39" s="1"/>
  <c r="H82" i="38"/>
  <c r="D48" i="39" s="1"/>
  <c r="U94" i="38"/>
  <c r="K56" i="39" s="1"/>
  <c r="H94" i="38"/>
  <c r="D56" i="39" s="1"/>
  <c r="G94" i="38"/>
  <c r="C56" i="39" s="1"/>
  <c r="L106" i="38"/>
  <c r="F79" i="39" s="1"/>
  <c r="W106" i="38"/>
  <c r="G106" i="38"/>
  <c r="C79" i="39" s="1"/>
  <c r="Q118" i="38"/>
  <c r="W118" i="38"/>
  <c r="L101" i="39" s="1"/>
  <c r="J139" i="38"/>
  <c r="E126" i="39" s="1"/>
  <c r="U139" i="38"/>
  <c r="K126" i="39" s="1"/>
  <c r="G139" i="38"/>
  <c r="C126" i="39" s="1"/>
  <c r="H85" i="38"/>
  <c r="D49" i="39" s="1"/>
  <c r="J85" i="38"/>
  <c r="E49" i="39" s="1"/>
  <c r="H115" i="38"/>
  <c r="D92" i="39" s="1"/>
  <c r="J115" i="38"/>
  <c r="E92" i="39" s="1"/>
  <c r="J193" i="38"/>
  <c r="Q193" i="38"/>
  <c r="P193" i="38" s="1"/>
  <c r="H178" i="38"/>
  <c r="D183" i="39" s="1"/>
  <c r="J178" i="38"/>
  <c r="E183" i="39" s="1"/>
  <c r="U178" i="38"/>
  <c r="K183" i="39" s="1"/>
  <c r="R18" i="21"/>
  <c r="I91" i="32"/>
  <c r="W57" i="33"/>
  <c r="Q145" i="33"/>
  <c r="P73" i="24"/>
  <c r="P20" i="24"/>
  <c r="X78" i="32"/>
  <c r="J20" i="31"/>
  <c r="J34" i="31"/>
  <c r="P76" i="31"/>
  <c r="L65" i="31"/>
  <c r="G188" i="31"/>
  <c r="L110" i="31"/>
  <c r="G53" i="31"/>
  <c r="L73" i="38"/>
  <c r="F34" i="39" s="1"/>
  <c r="U53" i="38"/>
  <c r="W24" i="39" s="1"/>
  <c r="G178" i="38"/>
  <c r="C183" i="39" s="1"/>
  <c r="J28" i="38"/>
  <c r="E15" i="39" s="1"/>
  <c r="J91" i="38"/>
  <c r="E53" i="39" s="1"/>
  <c r="G115" i="38"/>
  <c r="C92" i="39" s="1"/>
  <c r="Q139" i="38"/>
  <c r="H37" i="38"/>
  <c r="D18" i="39" s="1"/>
  <c r="J106" i="38"/>
  <c r="E79" i="39" s="1"/>
  <c r="J94" i="38"/>
  <c r="E56" i="39" s="1"/>
  <c r="U82" i="38"/>
  <c r="K48" i="39" s="1"/>
  <c r="W67" i="38"/>
  <c r="L29" i="39" s="1"/>
  <c r="Q43" i="38"/>
  <c r="I21" i="39" s="1"/>
  <c r="P27" i="9"/>
  <c r="H17" i="32"/>
  <c r="P49" i="28"/>
  <c r="L116" i="39"/>
  <c r="D59" i="21"/>
  <c r="D127" i="32"/>
  <c r="D127" i="33"/>
  <c r="O121" i="28"/>
  <c r="T37" i="33"/>
  <c r="O21" i="21"/>
  <c r="P13" i="21"/>
  <c r="P15" i="21"/>
  <c r="W28" i="21"/>
  <c r="O21" i="33"/>
  <c r="T21" i="33"/>
  <c r="Q199" i="32"/>
  <c r="W37" i="32"/>
  <c r="P16" i="33"/>
  <c r="U18" i="28"/>
  <c r="P13" i="33"/>
  <c r="P24" i="21"/>
  <c r="Q34" i="21"/>
  <c r="P56" i="21"/>
  <c r="T199" i="28"/>
  <c r="U16" i="28"/>
  <c r="T199" i="32"/>
  <c r="Q32" i="28"/>
  <c r="R23" i="32"/>
  <c r="Q37" i="28"/>
  <c r="P78" i="28"/>
  <c r="O85" i="32"/>
  <c r="R13" i="32"/>
  <c r="P24" i="32"/>
  <c r="Q162" i="32"/>
  <c r="W56" i="32"/>
  <c r="U32" i="32"/>
  <c r="U32" i="33"/>
  <c r="W37" i="28"/>
  <c r="Q11" i="32"/>
  <c r="R23" i="33"/>
  <c r="P121" i="28"/>
  <c r="O85" i="33"/>
  <c r="R78" i="33"/>
  <c r="P24" i="33"/>
  <c r="U199" i="32"/>
  <c r="U121" i="32"/>
  <c r="W56" i="33"/>
  <c r="T18" i="28"/>
  <c r="O34" i="21"/>
  <c r="W28" i="33"/>
  <c r="O57" i="32"/>
  <c r="W16" i="33"/>
  <c r="X15" i="28"/>
  <c r="Q31" i="21"/>
  <c r="U16" i="21"/>
  <c r="R26" i="21"/>
  <c r="P27" i="28"/>
  <c r="Q16" i="28"/>
  <c r="R23" i="21"/>
  <c r="X21" i="28"/>
  <c r="P73" i="21"/>
  <c r="Q11" i="33"/>
  <c r="X21" i="33"/>
  <c r="Q32" i="32"/>
  <c r="P164" i="28"/>
  <c r="Q37" i="32"/>
  <c r="X28" i="32"/>
  <c r="U23" i="32"/>
  <c r="P78" i="32"/>
  <c r="P183" i="32"/>
  <c r="O85" i="28"/>
  <c r="Q16" i="33"/>
  <c r="U121" i="33"/>
  <c r="Q12" i="28"/>
  <c r="P34" i="32"/>
  <c r="T29" i="21"/>
  <c r="Q10" i="21"/>
  <c r="O69" i="21"/>
  <c r="R55" i="21"/>
  <c r="U26" i="28"/>
  <c r="T25" i="28"/>
  <c r="T29" i="28"/>
  <c r="R29" i="28"/>
  <c r="U23" i="21"/>
  <c r="P57" i="32"/>
  <c r="Q59" i="28"/>
  <c r="P117" i="28"/>
  <c r="R29" i="32"/>
  <c r="P22" i="32"/>
  <c r="R32" i="32"/>
  <c r="P154" i="31"/>
  <c r="O121" i="33"/>
  <c r="U26" i="21"/>
  <c r="Q42" i="21"/>
  <c r="P54" i="21"/>
  <c r="P35" i="21"/>
  <c r="R28" i="28"/>
  <c r="R32" i="28"/>
  <c r="R121" i="28"/>
  <c r="P57" i="33"/>
  <c r="O160" i="32"/>
  <c r="R32" i="33"/>
  <c r="Q10" i="32"/>
  <c r="P130" i="24"/>
  <c r="P148" i="31"/>
  <c r="P73" i="31"/>
  <c r="O34" i="33"/>
  <c r="P64" i="21"/>
  <c r="O65" i="21"/>
  <c r="R31" i="21"/>
  <c r="R28" i="21"/>
  <c r="U26" i="32"/>
  <c r="O160" i="33"/>
  <c r="P117" i="32"/>
  <c r="Q10" i="33"/>
  <c r="P74" i="24"/>
  <c r="P131" i="24"/>
  <c r="P86" i="24"/>
  <c r="O12" i="33"/>
  <c r="O28" i="33"/>
  <c r="O28" i="21"/>
  <c r="O28" i="32"/>
  <c r="W22" i="28"/>
  <c r="O12" i="32"/>
  <c r="W22" i="21"/>
  <c r="W22" i="32"/>
  <c r="O12" i="28"/>
  <c r="O12" i="21"/>
  <c r="O59" i="32"/>
  <c r="O42" i="21"/>
  <c r="O59" i="33"/>
  <c r="O59" i="28"/>
  <c r="W29" i="33"/>
  <c r="W29" i="28"/>
  <c r="W29" i="32"/>
  <c r="W29" i="21"/>
  <c r="P26" i="28"/>
  <c r="P26" i="32"/>
  <c r="P26" i="21"/>
  <c r="W13" i="33"/>
  <c r="D22" i="9"/>
  <c r="U136" i="33"/>
  <c r="U136" i="32"/>
  <c r="P199" i="32"/>
  <c r="U34" i="33"/>
  <c r="U34" i="28"/>
  <c r="U34" i="32"/>
  <c r="U32" i="21"/>
  <c r="Q14" i="32"/>
  <c r="Q14" i="33"/>
  <c r="Q14" i="21"/>
  <c r="Q14" i="28"/>
  <c r="I8" i="32"/>
  <c r="I8" i="21"/>
  <c r="L3" i="9"/>
  <c r="E11" i="12"/>
  <c r="I8" i="33"/>
  <c r="I8" i="28"/>
  <c r="Q56" i="28"/>
  <c r="Q56" i="33"/>
  <c r="Q56" i="32"/>
  <c r="Q40" i="21"/>
  <c r="Q55" i="32"/>
  <c r="Q55" i="28"/>
  <c r="Q55" i="33"/>
  <c r="Q39" i="21"/>
  <c r="W17" i="33"/>
  <c r="W17" i="21"/>
  <c r="W17" i="28"/>
  <c r="P188" i="38"/>
  <c r="T199" i="39" s="1"/>
  <c r="U199" i="39"/>
  <c r="U27" i="21"/>
  <c r="U27" i="28"/>
  <c r="U27" i="33"/>
  <c r="O18" i="32"/>
  <c r="O18" i="28"/>
  <c r="O11" i="32"/>
  <c r="O11" i="28"/>
  <c r="O11" i="21"/>
  <c r="P11" i="33"/>
  <c r="P11" i="28"/>
  <c r="P11" i="32"/>
  <c r="T24" i="33"/>
  <c r="T24" i="21"/>
  <c r="T24" i="28"/>
  <c r="Q12" i="21"/>
  <c r="H27" i="33"/>
  <c r="H27" i="32"/>
  <c r="H27" i="21"/>
  <c r="T59" i="28"/>
  <c r="T42" i="21"/>
  <c r="O18" i="21"/>
  <c r="O140" i="28"/>
  <c r="O140" i="33"/>
  <c r="O62" i="21"/>
  <c r="O140" i="32"/>
  <c r="U10" i="33"/>
  <c r="U10" i="32"/>
  <c r="U10" i="21"/>
  <c r="O15" i="28"/>
  <c r="O15" i="33"/>
  <c r="O15" i="21"/>
  <c r="W15" i="28"/>
  <c r="W15" i="21"/>
  <c r="W15" i="32"/>
  <c r="U107" i="33"/>
  <c r="U51" i="21"/>
  <c r="U107" i="32"/>
  <c r="U107" i="28"/>
  <c r="H162" i="32"/>
  <c r="H162" i="28"/>
  <c r="H162" i="33"/>
  <c r="H66" i="21"/>
  <c r="O10" i="32"/>
  <c r="O10" i="33"/>
  <c r="W12" i="33"/>
  <c r="W12" i="28"/>
  <c r="W12" i="21"/>
  <c r="O13" i="32"/>
  <c r="O13" i="28"/>
  <c r="O13" i="33"/>
  <c r="Q25" i="28"/>
  <c r="Q25" i="21"/>
  <c r="Q25" i="33"/>
  <c r="Q25" i="32"/>
  <c r="U162" i="33"/>
  <c r="U162" i="28"/>
  <c r="U66" i="21"/>
  <c r="U162" i="32"/>
  <c r="X199" i="33"/>
  <c r="X199" i="32"/>
  <c r="X199" i="28"/>
  <c r="X76" i="21"/>
  <c r="U122" i="33"/>
  <c r="U56" i="21"/>
  <c r="U122" i="28"/>
  <c r="U122" i="32"/>
  <c r="O21" i="32"/>
  <c r="U18" i="33"/>
  <c r="U18" i="32"/>
  <c r="W11" i="28"/>
  <c r="W11" i="21"/>
  <c r="W11" i="33"/>
  <c r="W59" i="33"/>
  <c r="W42" i="21"/>
  <c r="W59" i="32"/>
  <c r="C27" i="28"/>
  <c r="C27" i="21"/>
  <c r="D21" i="9"/>
  <c r="C27" i="33"/>
  <c r="O26" i="32"/>
  <c r="O26" i="28"/>
  <c r="O23" i="21"/>
  <c r="O24" i="33"/>
  <c r="O24" i="32"/>
  <c r="O24" i="21"/>
  <c r="O25" i="33"/>
  <c r="O25" i="21"/>
  <c r="U11" i="32"/>
  <c r="T32" i="32"/>
  <c r="Q69" i="21"/>
  <c r="P42" i="21"/>
  <c r="Q29" i="21"/>
  <c r="Q29" i="33"/>
  <c r="Q29" i="32"/>
  <c r="Q29" i="28"/>
  <c r="P107" i="33"/>
  <c r="P107" i="32"/>
  <c r="P51" i="21"/>
  <c r="P136" i="33"/>
  <c r="P136" i="28"/>
  <c r="P136" i="32"/>
  <c r="P61" i="21"/>
  <c r="Q20" i="33"/>
  <c r="Q20" i="21"/>
  <c r="Q20" i="32"/>
  <c r="Q20" i="28"/>
  <c r="X37" i="32"/>
  <c r="X34" i="21"/>
  <c r="X37" i="33"/>
  <c r="X23" i="32"/>
  <c r="X23" i="33"/>
  <c r="X23" i="21"/>
  <c r="X23" i="28"/>
  <c r="Q187" i="33"/>
  <c r="Q187" i="28"/>
  <c r="Q187" i="32"/>
  <c r="Q26" i="32"/>
  <c r="Q26" i="33"/>
  <c r="Q26" i="28"/>
  <c r="Q26" i="21"/>
  <c r="P10" i="28"/>
  <c r="Q27" i="33"/>
  <c r="Q27" i="21"/>
  <c r="Q27" i="32"/>
  <c r="F199" i="33"/>
  <c r="F199" i="28"/>
  <c r="F76" i="21"/>
  <c r="F199" i="32"/>
  <c r="D25" i="28"/>
  <c r="D25" i="33"/>
  <c r="D25" i="21"/>
  <c r="D25" i="32"/>
  <c r="O125" i="33"/>
  <c r="O162" i="28"/>
  <c r="W125" i="28"/>
  <c r="W125" i="32"/>
  <c r="Q28" i="33"/>
  <c r="Q28" i="32"/>
  <c r="Q28" i="21"/>
  <c r="Q23" i="33"/>
  <c r="Q23" i="32"/>
  <c r="Q23" i="28"/>
  <c r="Q23" i="21"/>
  <c r="Q79" i="28"/>
  <c r="Q79" i="32"/>
  <c r="R136" i="32"/>
  <c r="R136" i="33"/>
  <c r="R136" i="28"/>
  <c r="R61" i="21"/>
  <c r="Q35" i="28"/>
  <c r="Q33" i="21"/>
  <c r="Q35" i="32"/>
  <c r="P57" i="28"/>
  <c r="O100" i="33"/>
  <c r="O100" i="28"/>
  <c r="O100" i="32"/>
  <c r="W24" i="32"/>
  <c r="W24" i="28"/>
  <c r="W24" i="21"/>
  <c r="R21" i="32"/>
  <c r="R21" i="28"/>
  <c r="P29" i="28"/>
  <c r="P29" i="32"/>
  <c r="P29" i="21"/>
  <c r="U91" i="33"/>
  <c r="U91" i="28"/>
  <c r="W25" i="32"/>
  <c r="W25" i="33"/>
  <c r="W143" i="38"/>
  <c r="X128" i="39" s="1"/>
  <c r="U143" i="38"/>
  <c r="G143" i="38"/>
  <c r="O128" i="39" s="1"/>
  <c r="J143" i="38"/>
  <c r="Q128" i="39" s="1"/>
  <c r="H152" i="31"/>
  <c r="J152" i="31"/>
  <c r="R127" i="32"/>
  <c r="H143" i="38"/>
  <c r="P128" i="39" s="1"/>
  <c r="L143" i="38"/>
  <c r="R128" i="39" s="1"/>
  <c r="U140" i="38"/>
  <c r="W126" i="39" s="1"/>
  <c r="Q140" i="38"/>
  <c r="G149" i="31"/>
  <c r="J140" i="38"/>
  <c r="Q126" i="39" s="1"/>
  <c r="Q149" i="31"/>
  <c r="J149" i="31"/>
  <c r="R125" i="32"/>
  <c r="H140" i="38"/>
  <c r="P126" i="39" s="1"/>
  <c r="H149" i="31"/>
  <c r="G140" i="38"/>
  <c r="O126" i="39" s="1"/>
  <c r="H137" i="24"/>
  <c r="U137" i="24"/>
  <c r="Q137" i="24"/>
  <c r="J185" i="38"/>
  <c r="Q188" i="39" s="1"/>
  <c r="G185" i="38"/>
  <c r="O188" i="39" s="1"/>
  <c r="U185" i="38"/>
  <c r="H185" i="38"/>
  <c r="P188" i="39" s="1"/>
  <c r="G194" i="31"/>
  <c r="L185" i="38"/>
  <c r="R188" i="39" s="1"/>
  <c r="L194" i="31"/>
  <c r="H194" i="31"/>
  <c r="U194" i="31"/>
  <c r="P194" i="31" s="1"/>
  <c r="J194" i="31"/>
  <c r="J170" i="24"/>
  <c r="H170" i="24"/>
  <c r="U170" i="24"/>
  <c r="P170" i="24" s="1"/>
  <c r="G170" i="24"/>
  <c r="G137" i="38"/>
  <c r="O124" i="39" s="1"/>
  <c r="H137" i="38"/>
  <c r="P124" i="39" s="1"/>
  <c r="U137" i="38"/>
  <c r="W124" i="39" s="1"/>
  <c r="J137" i="38"/>
  <c r="Q124" i="39" s="1"/>
  <c r="W146" i="31"/>
  <c r="J146" i="31"/>
  <c r="G146" i="31"/>
  <c r="H146" i="31"/>
  <c r="G134" i="24"/>
  <c r="U146" i="31"/>
  <c r="W134" i="24"/>
  <c r="P134" i="24" s="1"/>
  <c r="J134" i="24"/>
  <c r="R120" i="16"/>
  <c r="U88" i="38"/>
  <c r="K50" i="39" s="1"/>
  <c r="Q88" i="38"/>
  <c r="G88" i="38"/>
  <c r="C50" i="39" s="1"/>
  <c r="L41" i="38"/>
  <c r="R20" i="39" s="1"/>
  <c r="G41" i="38"/>
  <c r="O20" i="39" s="1"/>
  <c r="L41" i="31"/>
  <c r="J41" i="31"/>
  <c r="U41" i="38"/>
  <c r="W20" i="39" s="1"/>
  <c r="H41" i="31"/>
  <c r="G41" i="31"/>
  <c r="J41" i="38"/>
  <c r="Q20" i="39" s="1"/>
  <c r="U41" i="31"/>
  <c r="P41" i="38"/>
  <c r="T20" i="39" s="1"/>
  <c r="P41" i="31"/>
  <c r="H41" i="38"/>
  <c r="P20" i="39" s="1"/>
  <c r="U41" i="24"/>
  <c r="J41" i="24"/>
  <c r="H41" i="24"/>
  <c r="R47" i="10"/>
  <c r="L77" i="38"/>
  <c r="R35" i="39" s="1"/>
  <c r="L77" i="31"/>
  <c r="J77" i="31"/>
  <c r="U77" i="38"/>
  <c r="W35" i="39" s="1"/>
  <c r="G77" i="38"/>
  <c r="O35" i="39" s="1"/>
  <c r="H77" i="31"/>
  <c r="H77" i="38"/>
  <c r="P35" i="39" s="1"/>
  <c r="J77" i="38"/>
  <c r="Q35" i="39" s="1"/>
  <c r="Q77" i="31"/>
  <c r="P77" i="31" s="1"/>
  <c r="L77" i="24"/>
  <c r="Q77" i="24"/>
  <c r="Q77" i="38"/>
  <c r="U77" i="24"/>
  <c r="J77" i="24"/>
  <c r="G146" i="38"/>
  <c r="O134" i="39" s="1"/>
  <c r="G155" i="31"/>
  <c r="Q146" i="38"/>
  <c r="W155" i="31"/>
  <c r="U146" i="38"/>
  <c r="W134" i="39" s="1"/>
  <c r="Q155" i="31"/>
  <c r="W146" i="38"/>
  <c r="X134" i="39" s="1"/>
  <c r="W140" i="24"/>
  <c r="Q140" i="24"/>
  <c r="G140" i="24"/>
  <c r="G119" i="38"/>
  <c r="O101" i="39" s="1"/>
  <c r="Q119" i="38"/>
  <c r="Q122" i="31"/>
  <c r="G122" i="31"/>
  <c r="W119" i="38"/>
  <c r="X101" i="39" s="1"/>
  <c r="W122" i="31"/>
  <c r="W119" i="24"/>
  <c r="Q119" i="24"/>
  <c r="G119" i="24"/>
  <c r="J110" i="38"/>
  <c r="Q80" i="39" s="1"/>
  <c r="G110" i="38"/>
  <c r="O80" i="39" s="1"/>
  <c r="H110" i="38"/>
  <c r="P80" i="39" s="1"/>
  <c r="L113" i="31"/>
  <c r="Q113" i="31"/>
  <c r="P113" i="31" s="1"/>
  <c r="J113" i="31"/>
  <c r="Q110" i="38"/>
  <c r="U110" i="38"/>
  <c r="W80" i="39" s="1"/>
  <c r="G113" i="31"/>
  <c r="H113" i="31"/>
  <c r="H110" i="24"/>
  <c r="L110" i="24"/>
  <c r="O79" i="33"/>
  <c r="J110" i="24"/>
  <c r="L108" i="5"/>
  <c r="Q47" i="21"/>
  <c r="W34" i="21"/>
  <c r="T21" i="21"/>
  <c r="W37" i="33"/>
  <c r="O199" i="32"/>
  <c r="P13" i="32"/>
  <c r="D114" i="5"/>
  <c r="P79" i="5"/>
  <c r="P120" i="5"/>
  <c r="N114" i="16"/>
  <c r="W35" i="32"/>
  <c r="R79" i="16"/>
  <c r="D47" i="5"/>
  <c r="R47" i="16"/>
  <c r="D120" i="16"/>
  <c r="N108" i="10"/>
  <c r="T13" i="33"/>
  <c r="T160" i="32"/>
  <c r="O58" i="21"/>
  <c r="O66" i="21"/>
  <c r="Q24" i="21"/>
  <c r="Q24" i="33"/>
  <c r="W125" i="33"/>
  <c r="R167" i="28"/>
  <c r="R167" i="33"/>
  <c r="O32" i="28"/>
  <c r="O32" i="33"/>
  <c r="P160" i="32"/>
  <c r="P160" i="28"/>
  <c r="P160" i="33"/>
  <c r="P65" i="21"/>
  <c r="Q160" i="33"/>
  <c r="Q160" i="28"/>
  <c r="Q160" i="32"/>
  <c r="P122" i="32"/>
  <c r="Q66" i="21"/>
  <c r="O78" i="32"/>
  <c r="O78" i="28"/>
  <c r="O78" i="33"/>
  <c r="J34" i="24"/>
  <c r="P162" i="32"/>
  <c r="P162" i="33"/>
  <c r="P162" i="28"/>
  <c r="P66" i="21"/>
  <c r="R29" i="33"/>
  <c r="G41" i="24"/>
  <c r="W25" i="21"/>
  <c r="U27" i="39"/>
  <c r="U152" i="31"/>
  <c r="P152" i="31" s="1"/>
  <c r="Q115" i="32"/>
  <c r="Q53" i="21"/>
  <c r="Q115" i="33"/>
  <c r="Q115" i="28"/>
  <c r="X76" i="33"/>
  <c r="X76" i="32"/>
  <c r="X44" i="21"/>
  <c r="L28" i="39"/>
  <c r="Q23" i="38"/>
  <c r="U13" i="39" s="1"/>
  <c r="P23" i="38"/>
  <c r="T13" i="39" s="1"/>
  <c r="U23" i="38"/>
  <c r="W13" i="39" s="1"/>
  <c r="G23" i="38"/>
  <c r="O13" i="39" s="1"/>
  <c r="Q23" i="31"/>
  <c r="H23" i="31"/>
  <c r="P23" i="31"/>
  <c r="G23" i="31"/>
  <c r="G23" i="24"/>
  <c r="L23" i="24"/>
  <c r="L23" i="38"/>
  <c r="R13" i="39" s="1"/>
  <c r="J23" i="38"/>
  <c r="Q13" i="39" s="1"/>
  <c r="U23" i="31"/>
  <c r="H23" i="38"/>
  <c r="P13" i="39" s="1"/>
  <c r="L23" i="31"/>
  <c r="J23" i="31"/>
  <c r="P23" i="24"/>
  <c r="Q23" i="24"/>
  <c r="J23" i="24"/>
  <c r="D27" i="16"/>
  <c r="R27" i="10"/>
  <c r="H170" i="38"/>
  <c r="P168" i="39" s="1"/>
  <c r="G170" i="38"/>
  <c r="O168" i="39" s="1"/>
  <c r="L179" i="31"/>
  <c r="H179" i="31"/>
  <c r="G179" i="31"/>
  <c r="L170" i="38"/>
  <c r="R168" i="39" s="1"/>
  <c r="G164" i="24"/>
  <c r="L164" i="24"/>
  <c r="J164" i="24"/>
  <c r="H56" i="38"/>
  <c r="P25" i="39" s="1"/>
  <c r="Q56" i="38"/>
  <c r="U25" i="39" s="1"/>
  <c r="L56" i="31"/>
  <c r="U56" i="38"/>
  <c r="W25" i="39" s="1"/>
  <c r="W56" i="38"/>
  <c r="X25" i="39" s="1"/>
  <c r="W56" i="31"/>
  <c r="J56" i="31"/>
  <c r="W56" i="24"/>
  <c r="H56" i="24"/>
  <c r="J56" i="38"/>
  <c r="Q25" i="39" s="1"/>
  <c r="L56" i="38"/>
  <c r="R25" i="39" s="1"/>
  <c r="H56" i="31"/>
  <c r="P56" i="31"/>
  <c r="G56" i="31"/>
  <c r="L56" i="24"/>
  <c r="P25" i="33"/>
  <c r="Q56" i="31"/>
  <c r="J56" i="24"/>
  <c r="G56" i="38"/>
  <c r="O25" i="39" s="1"/>
  <c r="G56" i="24"/>
  <c r="D62" i="16"/>
  <c r="F26" i="32"/>
  <c r="F26" i="21"/>
  <c r="F26" i="28"/>
  <c r="K182" i="33"/>
  <c r="K182" i="28"/>
  <c r="K182" i="32"/>
  <c r="K72" i="21"/>
  <c r="J68" i="38"/>
  <c r="Q29" i="39" s="1"/>
  <c r="G68" i="38"/>
  <c r="O29" i="39" s="1"/>
  <c r="H68" i="38"/>
  <c r="P29" i="39" s="1"/>
  <c r="P68" i="38"/>
  <c r="T29" i="39" s="1"/>
  <c r="W68" i="38"/>
  <c r="X29" i="39" s="1"/>
  <c r="P68" i="31"/>
  <c r="W68" i="31"/>
  <c r="U68" i="38"/>
  <c r="W29" i="39" s="1"/>
  <c r="L68" i="31"/>
  <c r="J68" i="31"/>
  <c r="Q68" i="38"/>
  <c r="U29" i="39" s="1"/>
  <c r="U68" i="31"/>
  <c r="Q68" i="31"/>
  <c r="L68" i="38"/>
  <c r="R29" i="39" s="1"/>
  <c r="H68" i="31"/>
  <c r="L68" i="24"/>
  <c r="U68" i="24"/>
  <c r="Q68" i="24"/>
  <c r="W68" i="24"/>
  <c r="P68" i="24"/>
  <c r="R74" i="16"/>
  <c r="G116" i="38"/>
  <c r="O92" i="39" s="1"/>
  <c r="J119" i="31"/>
  <c r="J116" i="38"/>
  <c r="Q92" i="39" s="1"/>
  <c r="H119" i="31"/>
  <c r="G119" i="31"/>
  <c r="H116" i="24"/>
  <c r="G116" i="24"/>
  <c r="W167" i="38"/>
  <c r="X167" i="39" s="1"/>
  <c r="U176" i="31"/>
  <c r="U167" i="38"/>
  <c r="J176" i="31"/>
  <c r="H167" i="38"/>
  <c r="P167" i="39" s="1"/>
  <c r="G176" i="31"/>
  <c r="J167" i="38"/>
  <c r="Q167" i="39" s="1"/>
  <c r="H176" i="31"/>
  <c r="G167" i="38"/>
  <c r="O167" i="39" s="1"/>
  <c r="W176" i="31"/>
  <c r="H161" i="24"/>
  <c r="W161" i="24"/>
  <c r="U161" i="24"/>
  <c r="D134" i="5"/>
  <c r="L114" i="5"/>
  <c r="D79" i="5"/>
  <c r="D120" i="5"/>
  <c r="D114" i="10"/>
  <c r="D79" i="10"/>
  <c r="O20" i="33"/>
  <c r="N108" i="16"/>
  <c r="D140" i="10"/>
  <c r="W32" i="21"/>
  <c r="Q46" i="21"/>
  <c r="O49" i="21"/>
  <c r="U48" i="21"/>
  <c r="Q24" i="28"/>
  <c r="R21" i="33"/>
  <c r="W24" i="33"/>
  <c r="O125" i="32"/>
  <c r="W32" i="28"/>
  <c r="W32" i="33"/>
  <c r="W31" i="21"/>
  <c r="P164" i="33"/>
  <c r="P164" i="32"/>
  <c r="O167" i="28"/>
  <c r="T29" i="33"/>
  <c r="T29" i="32"/>
  <c r="Q107" i="33"/>
  <c r="Q107" i="28"/>
  <c r="Q107" i="32"/>
  <c r="T25" i="33"/>
  <c r="T25" i="32"/>
  <c r="P187" i="33"/>
  <c r="X26" i="33"/>
  <c r="X26" i="28"/>
  <c r="Q21" i="33"/>
  <c r="R13" i="33"/>
  <c r="R13" i="21"/>
  <c r="X16" i="33"/>
  <c r="X16" i="21"/>
  <c r="R37" i="33"/>
  <c r="W23" i="28"/>
  <c r="W23" i="32"/>
  <c r="R35" i="28"/>
  <c r="R57" i="33"/>
  <c r="R35" i="21"/>
  <c r="U140" i="24"/>
  <c r="L41" i="24"/>
  <c r="R78" i="32"/>
  <c r="Q110" i="24"/>
  <c r="P110" i="24" s="1"/>
  <c r="W25" i="28"/>
  <c r="R9" i="33"/>
  <c r="R9" i="21"/>
  <c r="I134" i="39"/>
  <c r="I123" i="39"/>
  <c r="P133" i="38"/>
  <c r="H123" i="39" s="1"/>
  <c r="I37" i="39"/>
  <c r="O183" i="28"/>
  <c r="Q15" i="33"/>
  <c r="O183" i="32"/>
  <c r="R22" i="32"/>
  <c r="Q121" i="28"/>
  <c r="P145" i="28"/>
  <c r="Q78" i="28"/>
  <c r="U160" i="32"/>
  <c r="R121" i="33"/>
  <c r="I79" i="28"/>
  <c r="P27" i="32"/>
  <c r="R26" i="33"/>
  <c r="W121" i="33"/>
  <c r="U23" i="28"/>
  <c r="O179" i="33"/>
  <c r="O179" i="28"/>
  <c r="O70" i="21"/>
  <c r="U182" i="33"/>
  <c r="U182" i="28"/>
  <c r="U182" i="32"/>
  <c r="U76" i="21"/>
  <c r="U199" i="28"/>
  <c r="U164" i="33"/>
  <c r="U164" i="28"/>
  <c r="U164" i="32"/>
  <c r="X14" i="33"/>
  <c r="X14" i="32"/>
  <c r="X14" i="21"/>
  <c r="X14" i="28"/>
  <c r="I16" i="39"/>
  <c r="P64" i="38"/>
  <c r="H28" i="39" s="1"/>
  <c r="U7" i="38"/>
  <c r="K8" i="39" s="1"/>
  <c r="H8" i="39"/>
  <c r="Q117" i="28"/>
  <c r="O117" i="32"/>
  <c r="Q59" i="33"/>
  <c r="P22" i="33"/>
  <c r="Q136" i="28"/>
  <c r="P37" i="33"/>
  <c r="T26" i="33"/>
  <c r="P21" i="33"/>
  <c r="P32" i="32"/>
  <c r="U24" i="28"/>
  <c r="T57" i="32"/>
  <c r="R15" i="32"/>
  <c r="P46" i="38"/>
  <c r="H22" i="39" s="1"/>
  <c r="P131" i="38"/>
  <c r="T122" i="39" s="1"/>
  <c r="W122" i="39"/>
  <c r="I35" i="39"/>
  <c r="U183" i="39"/>
  <c r="F9" i="33"/>
  <c r="K35" i="33"/>
  <c r="Q75" i="21"/>
  <c r="P179" i="33"/>
  <c r="U53" i="31"/>
  <c r="I183" i="39"/>
  <c r="P70" i="38"/>
  <c r="H32" i="39" s="1"/>
  <c r="W29" i="38"/>
  <c r="X15" i="39" s="1"/>
  <c r="J29" i="38"/>
  <c r="Q15" i="39" s="1"/>
  <c r="W29" i="31"/>
  <c r="G29" i="38"/>
  <c r="O15" i="39" s="1"/>
  <c r="L29" i="31"/>
  <c r="U29" i="31"/>
  <c r="U29" i="38"/>
  <c r="W15" i="39" s="1"/>
  <c r="H29" i="38"/>
  <c r="P15" i="39" s="1"/>
  <c r="H29" i="31"/>
  <c r="P76" i="32"/>
  <c r="P76" i="33"/>
  <c r="P14" i="32"/>
  <c r="P14" i="21"/>
  <c r="U165" i="39"/>
  <c r="P164" i="38"/>
  <c r="T165" i="39" s="1"/>
  <c r="U17" i="38"/>
  <c r="W11" i="39" s="1"/>
  <c r="G17" i="38"/>
  <c r="O11" i="39" s="1"/>
  <c r="H17" i="31"/>
  <c r="L17" i="38"/>
  <c r="R11" i="39" s="1"/>
  <c r="J17" i="31"/>
  <c r="Q17" i="38"/>
  <c r="U17" i="31"/>
  <c r="J125" i="38"/>
  <c r="Q116" i="39" s="1"/>
  <c r="H125" i="38"/>
  <c r="P116" i="39" s="1"/>
  <c r="J134" i="31"/>
  <c r="W125" i="38"/>
  <c r="U134" i="31"/>
  <c r="P134" i="31" s="1"/>
  <c r="G125" i="38"/>
  <c r="O116" i="39" s="1"/>
  <c r="J128" i="38"/>
  <c r="Q118" i="39" s="1"/>
  <c r="L137" i="31"/>
  <c r="L128" i="38"/>
  <c r="R118" i="39" s="1"/>
  <c r="G128" i="38"/>
  <c r="O118" i="39" s="1"/>
  <c r="H137" i="31"/>
  <c r="G137" i="31"/>
  <c r="U74" i="38"/>
  <c r="W34" i="39" s="1"/>
  <c r="Q74" i="31"/>
  <c r="P74" i="31" s="1"/>
  <c r="H74" i="38"/>
  <c r="P34" i="39" s="1"/>
  <c r="Q74" i="38"/>
  <c r="G74" i="38"/>
  <c r="O34" i="39" s="1"/>
  <c r="J74" i="31"/>
  <c r="L74" i="38"/>
  <c r="R34" i="39" s="1"/>
  <c r="G149" i="38"/>
  <c r="O137" i="39" s="1"/>
  <c r="H158" i="31"/>
  <c r="L158" i="31"/>
  <c r="L149" i="38"/>
  <c r="R137" i="39" s="1"/>
  <c r="H149" i="38"/>
  <c r="P137" i="39" s="1"/>
  <c r="Q158" i="31"/>
  <c r="G158" i="31"/>
  <c r="Q149" i="38"/>
  <c r="U158" i="31"/>
  <c r="L32" i="38"/>
  <c r="R16" i="39" s="1"/>
  <c r="J32" i="31"/>
  <c r="U32" i="31"/>
  <c r="Q32" i="38"/>
  <c r="J32" i="38"/>
  <c r="Q16" i="39" s="1"/>
  <c r="H32" i="31"/>
  <c r="Q32" i="31"/>
  <c r="P32" i="31" s="1"/>
  <c r="W32" i="38"/>
  <c r="X16" i="39" s="1"/>
  <c r="G32" i="38"/>
  <c r="O16" i="39" s="1"/>
  <c r="G32" i="31"/>
  <c r="U80" i="38"/>
  <c r="W37" i="39" s="1"/>
  <c r="L80" i="38"/>
  <c r="R37" i="39" s="1"/>
  <c r="G80" i="38"/>
  <c r="O37" i="39" s="1"/>
  <c r="J80" i="38"/>
  <c r="Q37" i="39" s="1"/>
  <c r="W80" i="31"/>
  <c r="Q80" i="31"/>
  <c r="Q80" i="38"/>
  <c r="U80" i="31"/>
  <c r="H80" i="38"/>
  <c r="P37" i="39" s="1"/>
  <c r="J80" i="31"/>
  <c r="D198" i="33"/>
  <c r="D198" i="28"/>
  <c r="Q53" i="38"/>
  <c r="U24" i="39" s="1"/>
  <c r="H53" i="38"/>
  <c r="P24" i="39" s="1"/>
  <c r="J53" i="38"/>
  <c r="Q24" i="39" s="1"/>
  <c r="P53" i="31"/>
  <c r="H53" i="31"/>
  <c r="Q53" i="31"/>
  <c r="G83" i="38"/>
  <c r="O48" i="39" s="1"/>
  <c r="U83" i="38"/>
  <c r="W48" i="39" s="1"/>
  <c r="P83" i="38"/>
  <c r="T48" i="39" s="1"/>
  <c r="L83" i="38"/>
  <c r="R48" i="39" s="1"/>
  <c r="H83" i="31"/>
  <c r="P83" i="31"/>
  <c r="U83" i="31"/>
  <c r="G83" i="31"/>
  <c r="Q115" i="38"/>
  <c r="Q118" i="31"/>
  <c r="P118" i="31" s="1"/>
  <c r="O14" i="32"/>
  <c r="O14" i="28"/>
  <c r="P20" i="31"/>
  <c r="P98" i="31"/>
  <c r="C8" i="32"/>
  <c r="U47" i="21"/>
  <c r="O56" i="32"/>
  <c r="O40" i="21"/>
  <c r="U56" i="32"/>
  <c r="U55" i="28"/>
  <c r="G145" i="38"/>
  <c r="C134" i="39" s="1"/>
  <c r="U166" i="38"/>
  <c r="G52" i="38"/>
  <c r="C24" i="39" s="1"/>
  <c r="J172" i="38"/>
  <c r="E180" i="39" s="1"/>
  <c r="K49" i="39"/>
  <c r="P85" i="38"/>
  <c r="H49" i="39" s="1"/>
  <c r="U16" i="38"/>
  <c r="K11" i="39" s="1"/>
  <c r="G16" i="38"/>
  <c r="C11" i="39" s="1"/>
  <c r="Q16" i="38"/>
  <c r="H28" i="38"/>
  <c r="D15" i="39" s="1"/>
  <c r="W28" i="38"/>
  <c r="L15" i="39" s="1"/>
  <c r="L28" i="38"/>
  <c r="F15" i="39" s="1"/>
  <c r="Q13" i="38"/>
  <c r="G13" i="38"/>
  <c r="C10" i="39" s="1"/>
  <c r="U13" i="38"/>
  <c r="K10" i="39" s="1"/>
  <c r="J49" i="38"/>
  <c r="E23" i="39" s="1"/>
  <c r="H49" i="38"/>
  <c r="D23" i="39" s="1"/>
  <c r="Q49" i="38"/>
  <c r="I23" i="39" s="1"/>
  <c r="P49" i="38"/>
  <c r="H23" i="39" s="1"/>
  <c r="G49" i="38"/>
  <c r="C23" i="39" s="1"/>
  <c r="W49" i="38"/>
  <c r="L23" i="39" s="1"/>
  <c r="Q61" i="38"/>
  <c r="J61" i="38"/>
  <c r="E27" i="39" s="1"/>
  <c r="H61" i="38"/>
  <c r="D27" i="39" s="1"/>
  <c r="G79" i="38"/>
  <c r="C37" i="39" s="1"/>
  <c r="L79" i="38"/>
  <c r="F37" i="39" s="1"/>
  <c r="J79" i="38"/>
  <c r="E37" i="39" s="1"/>
  <c r="H79" i="38"/>
  <c r="D37" i="39" s="1"/>
  <c r="Q91" i="38"/>
  <c r="H91" i="38"/>
  <c r="D53" i="39" s="1"/>
  <c r="W103" i="38"/>
  <c r="L103" i="38"/>
  <c r="F77" i="39" s="1"/>
  <c r="J103" i="38"/>
  <c r="E77" i="39" s="1"/>
  <c r="G103" i="38"/>
  <c r="C77" i="39" s="1"/>
  <c r="H136" i="38"/>
  <c r="D124" i="39" s="1"/>
  <c r="J136" i="38"/>
  <c r="E124" i="39" s="1"/>
  <c r="U136" i="38"/>
  <c r="K124" i="39" s="1"/>
  <c r="Q136" i="38"/>
  <c r="J154" i="38"/>
  <c r="E146" i="39" s="1"/>
  <c r="G154" i="38"/>
  <c r="C146" i="39" s="1"/>
  <c r="H190" i="38"/>
  <c r="D200" i="39" s="1"/>
  <c r="G190" i="38"/>
  <c r="C200" i="39" s="1"/>
  <c r="J190" i="38"/>
  <c r="E200" i="39" s="1"/>
  <c r="U184" i="38"/>
  <c r="L184" i="38"/>
  <c r="F188" i="39" s="1"/>
  <c r="G184" i="38"/>
  <c r="C188" i="39" s="1"/>
  <c r="J130" i="38"/>
  <c r="E122" i="39" s="1"/>
  <c r="L130" i="38"/>
  <c r="F122" i="39" s="1"/>
  <c r="J163" i="38"/>
  <c r="E165" i="39" s="1"/>
  <c r="Q163" i="38"/>
  <c r="G163" i="38"/>
  <c r="C165" i="39" s="1"/>
  <c r="Q73" i="38"/>
  <c r="J73" i="38"/>
  <c r="E34" i="39" s="1"/>
  <c r="H73" i="38"/>
  <c r="D34" i="39" s="1"/>
  <c r="J187" i="38"/>
  <c r="E199" i="39" s="1"/>
  <c r="Q187" i="38"/>
  <c r="H187" i="38"/>
  <c r="D199" i="39" s="1"/>
  <c r="H175" i="38"/>
  <c r="D181" i="39" s="1"/>
  <c r="Q175" i="38"/>
  <c r="G175" i="38"/>
  <c r="C181" i="39" s="1"/>
  <c r="H142" i="38"/>
  <c r="D128" i="39" s="1"/>
  <c r="W142" i="38"/>
  <c r="L128" i="39" s="1"/>
  <c r="U142" i="38"/>
  <c r="L142" i="38"/>
  <c r="F128" i="39" s="1"/>
  <c r="U97" i="38"/>
  <c r="K57" i="39" s="1"/>
  <c r="Q97" i="38"/>
  <c r="H97" i="38"/>
  <c r="D57" i="39" s="1"/>
  <c r="J70" i="38"/>
  <c r="E32" i="39" s="1"/>
  <c r="L70" i="38"/>
  <c r="F32" i="39" s="1"/>
  <c r="G70" i="38"/>
  <c r="C32" i="39" s="1"/>
  <c r="H14" i="38"/>
  <c r="P10" i="39" s="1"/>
  <c r="Q14" i="38"/>
  <c r="G14" i="38"/>
  <c r="O10" i="39" s="1"/>
  <c r="G14" i="31"/>
  <c r="H14" i="31"/>
  <c r="U14" i="38"/>
  <c r="W10" i="39" s="1"/>
  <c r="U14" i="31"/>
  <c r="P14" i="31" s="1"/>
  <c r="H26" i="38"/>
  <c r="P14" i="39" s="1"/>
  <c r="U26" i="38"/>
  <c r="W14" i="39" s="1"/>
  <c r="P26" i="38"/>
  <c r="T14" i="39" s="1"/>
  <c r="W26" i="38"/>
  <c r="X14" i="39" s="1"/>
  <c r="G26" i="38"/>
  <c r="O14" i="39" s="1"/>
  <c r="R14" i="33"/>
  <c r="G11" i="38"/>
  <c r="O9" i="39" s="1"/>
  <c r="U11" i="38"/>
  <c r="J11" i="38"/>
  <c r="Q9" i="39" s="1"/>
  <c r="U11" i="31"/>
  <c r="H11" i="38"/>
  <c r="P9" i="39" s="1"/>
  <c r="L11" i="31"/>
  <c r="J188" i="38"/>
  <c r="Q199" i="39" s="1"/>
  <c r="G188" i="38"/>
  <c r="O199" i="39" s="1"/>
  <c r="Q197" i="31"/>
  <c r="P197" i="31" s="1"/>
  <c r="G176" i="38"/>
  <c r="O181" i="39" s="1"/>
  <c r="Q176" i="38"/>
  <c r="P176" i="38" s="1"/>
  <c r="T181" i="39" s="1"/>
  <c r="H185" i="31"/>
  <c r="J185" i="31"/>
  <c r="J176" i="38"/>
  <c r="Q181" i="39" s="1"/>
  <c r="G185" i="31"/>
  <c r="G131" i="31"/>
  <c r="U131" i="31"/>
  <c r="P131" i="31" s="1"/>
  <c r="J86" i="38"/>
  <c r="Q49" i="39" s="1"/>
  <c r="G86" i="38"/>
  <c r="O49" i="39" s="1"/>
  <c r="H86" i="31"/>
  <c r="U86" i="38"/>
  <c r="G86" i="31"/>
  <c r="J86" i="31"/>
  <c r="Q191" i="38"/>
  <c r="U200" i="39" s="1"/>
  <c r="W200" i="31"/>
  <c r="J200" i="31"/>
  <c r="W191" i="38"/>
  <c r="X200" i="39" s="1"/>
  <c r="H191" i="38"/>
  <c r="P200" i="39" s="1"/>
  <c r="Q200" i="31"/>
  <c r="G200" i="31"/>
  <c r="J155" i="38"/>
  <c r="Q146" i="39" s="1"/>
  <c r="H164" i="31"/>
  <c r="G155" i="38"/>
  <c r="O146" i="39" s="1"/>
  <c r="G164" i="31"/>
  <c r="H149" i="24"/>
  <c r="L104" i="38"/>
  <c r="R77" i="39" s="1"/>
  <c r="Q104" i="38"/>
  <c r="L107" i="31"/>
  <c r="W107" i="31"/>
  <c r="P107" i="31" s="1"/>
  <c r="J104" i="38"/>
  <c r="Q77" i="39" s="1"/>
  <c r="W104" i="38"/>
  <c r="X77" i="39" s="1"/>
  <c r="J107" i="31"/>
  <c r="G92" i="38"/>
  <c r="O53" i="39" s="1"/>
  <c r="Q92" i="38"/>
  <c r="H92" i="38"/>
  <c r="P53" i="39" s="1"/>
  <c r="J92" i="31"/>
  <c r="J92" i="24"/>
  <c r="Q59" i="38"/>
  <c r="U26" i="39" s="1"/>
  <c r="W59" i="38"/>
  <c r="X26" i="39" s="1"/>
  <c r="P59" i="38"/>
  <c r="T26" i="39" s="1"/>
  <c r="U59" i="38"/>
  <c r="W26" i="39" s="1"/>
  <c r="L59" i="31"/>
  <c r="U59" i="31"/>
  <c r="G59" i="31"/>
  <c r="Q59" i="31"/>
  <c r="H47" i="38"/>
  <c r="P22" i="39" s="1"/>
  <c r="L47" i="38"/>
  <c r="R22" i="39" s="1"/>
  <c r="H47" i="31"/>
  <c r="U47" i="31"/>
  <c r="P47" i="31" s="1"/>
  <c r="U47" i="38"/>
  <c r="J47" i="31"/>
  <c r="D183" i="33"/>
  <c r="J194" i="38"/>
  <c r="G194" i="38"/>
  <c r="G203" i="31"/>
  <c r="Q77" i="21"/>
  <c r="Q194" i="38"/>
  <c r="P194" i="38" s="1"/>
  <c r="J203" i="31"/>
  <c r="P77" i="21"/>
  <c r="U179" i="38"/>
  <c r="W183" i="39" s="1"/>
  <c r="J179" i="38"/>
  <c r="Q183" i="39" s="1"/>
  <c r="G179" i="38"/>
  <c r="O183" i="39" s="1"/>
  <c r="U188" i="31"/>
  <c r="Q188" i="31"/>
  <c r="U104" i="31"/>
  <c r="P104" i="31" s="1"/>
  <c r="G104" i="31"/>
  <c r="G95" i="38"/>
  <c r="O56" i="39" s="1"/>
  <c r="H95" i="38"/>
  <c r="P56" i="39" s="1"/>
  <c r="U95" i="38"/>
  <c r="W56" i="39" s="1"/>
  <c r="Q95" i="38"/>
  <c r="L95" i="31"/>
  <c r="H19" i="38"/>
  <c r="D12" i="39" s="1"/>
  <c r="Q19" i="38"/>
  <c r="U19" i="38"/>
  <c r="K12" i="39" s="1"/>
  <c r="G19" i="38"/>
  <c r="C12" i="39" s="1"/>
  <c r="H34" i="38"/>
  <c r="D17" i="39" s="1"/>
  <c r="U34" i="38"/>
  <c r="K17" i="39" s="1"/>
  <c r="G34" i="38"/>
  <c r="P34" i="38"/>
  <c r="H17" i="39" s="1"/>
  <c r="U40" i="38"/>
  <c r="K20" i="39" s="1"/>
  <c r="G40" i="38"/>
  <c r="H52" i="38"/>
  <c r="D24" i="39" s="1"/>
  <c r="P52" i="38"/>
  <c r="H24" i="39" s="1"/>
  <c r="J52" i="38"/>
  <c r="E24" i="39" s="1"/>
  <c r="H64" i="38"/>
  <c r="D28" i="39" s="1"/>
  <c r="L64" i="38"/>
  <c r="F28" i="39" s="1"/>
  <c r="J64" i="38"/>
  <c r="E28" i="39" s="1"/>
  <c r="U31" i="38"/>
  <c r="K16" i="39" s="1"/>
  <c r="W31" i="38"/>
  <c r="L16" i="39" s="1"/>
  <c r="J31" i="38"/>
  <c r="E16" i="39" s="1"/>
  <c r="L109" i="38"/>
  <c r="F80" i="39" s="1"/>
  <c r="J109" i="38"/>
  <c r="E80" i="39" s="1"/>
  <c r="U148" i="38"/>
  <c r="K137" i="39" s="1"/>
  <c r="Q148" i="38"/>
  <c r="G148" i="38"/>
  <c r="C137" i="39" s="1"/>
  <c r="J148" i="38"/>
  <c r="E137" i="39" s="1"/>
  <c r="L127" i="38"/>
  <c r="F118" i="39" s="1"/>
  <c r="J127" i="38"/>
  <c r="E118" i="39" s="1"/>
  <c r="G160" i="38"/>
  <c r="C163" i="39" s="1"/>
  <c r="J160" i="38"/>
  <c r="E163" i="39" s="1"/>
  <c r="C145" i="28"/>
  <c r="U38" i="38"/>
  <c r="H38" i="31"/>
  <c r="G38" i="38"/>
  <c r="O18" i="39" s="1"/>
  <c r="U38" i="31"/>
  <c r="P38" i="31" s="1"/>
  <c r="J38" i="31"/>
  <c r="Q182" i="31"/>
  <c r="P182" i="31" s="1"/>
  <c r="U179" i="33"/>
  <c r="Q173" i="38"/>
  <c r="Q134" i="38"/>
  <c r="U134" i="38"/>
  <c r="W123" i="39" s="1"/>
  <c r="G143" i="31"/>
  <c r="G134" i="38"/>
  <c r="O123" i="39" s="1"/>
  <c r="U143" i="31"/>
  <c r="W143" i="31"/>
  <c r="J158" i="38"/>
  <c r="Q161" i="39" s="1"/>
  <c r="H167" i="31"/>
  <c r="Q158" i="38"/>
  <c r="Q167" i="31"/>
  <c r="P167" i="31" s="1"/>
  <c r="G167" i="31"/>
  <c r="W122" i="38"/>
  <c r="X108" i="39" s="1"/>
  <c r="Q122" i="38"/>
  <c r="J128" i="31"/>
  <c r="H122" i="38"/>
  <c r="P108" i="39" s="1"/>
  <c r="X107" i="33"/>
  <c r="Q128" i="31"/>
  <c r="P128" i="31" s="1"/>
  <c r="Q122" i="24"/>
  <c r="P122" i="24" s="1"/>
  <c r="H182" i="38"/>
  <c r="P184" i="39" s="1"/>
  <c r="J182" i="38"/>
  <c r="Q184" i="39" s="1"/>
  <c r="H191" i="31"/>
  <c r="Q119" i="31"/>
  <c r="P119" i="31" s="1"/>
  <c r="J113" i="38"/>
  <c r="Q86" i="39" s="1"/>
  <c r="J116" i="31"/>
  <c r="H101" i="38"/>
  <c r="P60" i="39" s="1"/>
  <c r="J101" i="31"/>
  <c r="U101" i="38"/>
  <c r="H101" i="31"/>
  <c r="L44" i="38"/>
  <c r="R21" i="39" s="1"/>
  <c r="Q44" i="31"/>
  <c r="H44" i="31"/>
  <c r="J44" i="38"/>
  <c r="Q21" i="39" s="1"/>
  <c r="H44" i="38"/>
  <c r="P21" i="39" s="1"/>
  <c r="L44" i="31"/>
  <c r="G44" i="31"/>
  <c r="C77" i="21"/>
  <c r="D77" i="21"/>
  <c r="Q8" i="38"/>
  <c r="U8" i="39" s="1"/>
  <c r="H8" i="38"/>
  <c r="P8" i="39" s="1"/>
  <c r="J8" i="38"/>
  <c r="Q8" i="39" s="1"/>
  <c r="J8" i="31"/>
  <c r="H8" i="31"/>
  <c r="F125" i="33"/>
  <c r="E77" i="21"/>
  <c r="X78" i="28"/>
  <c r="P49" i="33"/>
  <c r="K79" i="33"/>
  <c r="J62" i="31"/>
  <c r="H62" i="31"/>
  <c r="W110" i="31"/>
  <c r="P110" i="31" s="1"/>
  <c r="U35" i="31"/>
  <c r="P50" i="31"/>
  <c r="U50" i="31"/>
  <c r="Q10" i="38"/>
  <c r="P25" i="38"/>
  <c r="H14" i="39" s="1"/>
  <c r="J25" i="38"/>
  <c r="E14" i="39" s="1"/>
  <c r="H25" i="38"/>
  <c r="D14" i="39" s="1"/>
  <c r="L46" i="38"/>
  <c r="F22" i="39" s="1"/>
  <c r="L107" i="38"/>
  <c r="R79" i="39" s="1"/>
  <c r="L62" i="38"/>
  <c r="R27" i="39" s="1"/>
  <c r="J50" i="38"/>
  <c r="Q23" i="39" s="1"/>
  <c r="J121" i="38"/>
  <c r="E108" i="39" s="1"/>
  <c r="J58" i="38"/>
  <c r="E26" i="39" s="1"/>
  <c r="G20" i="38"/>
  <c r="O12" i="39" s="1"/>
  <c r="U20" i="38"/>
  <c r="W12" i="39" s="1"/>
  <c r="H65" i="38"/>
  <c r="P28" i="39" s="1"/>
  <c r="L65" i="38"/>
  <c r="R28" i="39" s="1"/>
  <c r="G76" i="38"/>
  <c r="C35" i="39" s="1"/>
  <c r="J76" i="38"/>
  <c r="E35" i="39" s="1"/>
  <c r="H161" i="38"/>
  <c r="P163" i="39" s="1"/>
  <c r="Q161" i="38"/>
  <c r="G62" i="38"/>
  <c r="O27" i="39" s="1"/>
  <c r="H62" i="38"/>
  <c r="P27" i="39" s="1"/>
  <c r="U35" i="38"/>
  <c r="W17" i="39" s="1"/>
  <c r="H35" i="38"/>
  <c r="P35" i="38"/>
  <c r="T17" i="39" s="1"/>
  <c r="C9" i="28"/>
  <c r="C37" i="33"/>
  <c r="P98" i="38"/>
  <c r="T57" i="39" s="1"/>
  <c r="P12" i="33"/>
  <c r="X15" i="32"/>
  <c r="X15" i="21"/>
  <c r="Q34" i="32"/>
  <c r="Q32" i="21"/>
  <c r="T85" i="28"/>
  <c r="T47" i="21"/>
  <c r="T85" i="33"/>
  <c r="C21" i="12"/>
  <c r="C28" i="21"/>
  <c r="W13" i="28"/>
  <c r="C28" i="32"/>
  <c r="O136" i="33"/>
  <c r="P26" i="33"/>
  <c r="P15" i="33"/>
  <c r="P15" i="32"/>
  <c r="O23" i="33"/>
  <c r="W136" i="33"/>
  <c r="W136" i="32"/>
  <c r="U11" i="28"/>
  <c r="U11" i="33"/>
  <c r="U11" i="21"/>
  <c r="O34" i="28"/>
  <c r="P34" i="33"/>
  <c r="P34" i="28"/>
  <c r="T24" i="32"/>
  <c r="T59" i="32"/>
  <c r="C28" i="33"/>
  <c r="O136" i="28"/>
  <c r="W10" i="32"/>
  <c r="P12" i="32"/>
  <c r="O23" i="32"/>
  <c r="U27" i="32"/>
  <c r="W22" i="33"/>
  <c r="T13" i="28"/>
  <c r="T13" i="21"/>
  <c r="O34" i="32"/>
  <c r="T85" i="32"/>
  <c r="O121" i="32"/>
  <c r="T59" i="33"/>
  <c r="W10" i="21"/>
  <c r="O61" i="21"/>
  <c r="W13" i="21"/>
  <c r="P12" i="21"/>
  <c r="U12" i="21"/>
  <c r="P12" i="28"/>
  <c r="C28" i="28"/>
  <c r="W10" i="33"/>
  <c r="W13" i="32"/>
  <c r="U12" i="32"/>
  <c r="Q18" i="32"/>
  <c r="Q18" i="21"/>
  <c r="Q18" i="28"/>
  <c r="W34" i="32"/>
  <c r="P59" i="32"/>
  <c r="O145" i="28"/>
  <c r="T15" i="21"/>
  <c r="T15" i="28"/>
  <c r="T15" i="33"/>
  <c r="O164" i="33"/>
  <c r="Q121" i="32"/>
  <c r="P121" i="32"/>
  <c r="P145" i="32"/>
  <c r="X37" i="28"/>
  <c r="P10" i="32"/>
  <c r="Q35" i="33"/>
  <c r="P85" i="32"/>
  <c r="P59" i="33"/>
  <c r="Q162" i="33"/>
  <c r="Q121" i="33"/>
  <c r="P121" i="33"/>
  <c r="P145" i="33"/>
  <c r="P10" i="33"/>
  <c r="P85" i="33"/>
  <c r="P59" i="28"/>
  <c r="O162" i="32"/>
  <c r="U16" i="33"/>
  <c r="O179" i="32"/>
  <c r="U85" i="33"/>
  <c r="W145" i="33"/>
  <c r="P14" i="33"/>
  <c r="U85" i="32"/>
  <c r="U56" i="33"/>
  <c r="Q76" i="32"/>
  <c r="Q76" i="33"/>
  <c r="K35" i="32"/>
  <c r="C33" i="21"/>
  <c r="C35" i="28"/>
  <c r="C35" i="33"/>
  <c r="C35" i="32"/>
  <c r="D25" i="9"/>
  <c r="Q183" i="33"/>
  <c r="Q183" i="32"/>
  <c r="Q73" i="21"/>
  <c r="Q183" i="28"/>
  <c r="O37" i="32"/>
  <c r="O37" i="33"/>
  <c r="O37" i="28"/>
  <c r="O145" i="32"/>
  <c r="O145" i="33"/>
  <c r="G43" i="38" l="1"/>
  <c r="C21" i="39" s="1"/>
  <c r="P17" i="31"/>
  <c r="P149" i="31"/>
  <c r="P43" i="38"/>
  <c r="H21" i="39" s="1"/>
  <c r="I161" i="39"/>
  <c r="P47" i="24"/>
  <c r="P121" i="38"/>
  <c r="H108" i="39" s="1"/>
  <c r="J35" i="31"/>
  <c r="P11" i="31"/>
  <c r="P79" i="38"/>
  <c r="H37" i="39" s="1"/>
  <c r="P145" i="38"/>
  <c r="H134" i="39" s="1"/>
  <c r="U38" i="21"/>
  <c r="T11" i="28"/>
  <c r="P65" i="38"/>
  <c r="T28" i="39" s="1"/>
  <c r="U39" i="21"/>
  <c r="T65" i="21"/>
  <c r="P37" i="38"/>
  <c r="H18" i="39" s="1"/>
  <c r="U23" i="33"/>
  <c r="Q21" i="32"/>
  <c r="P8" i="21"/>
  <c r="L127" i="33"/>
  <c r="U77" i="21"/>
  <c r="P198" i="28"/>
  <c r="P198" i="33"/>
  <c r="P52" i="32"/>
  <c r="K187" i="32"/>
  <c r="P52" i="28"/>
  <c r="Q22" i="28"/>
  <c r="K15" i="32"/>
  <c r="U52" i="28"/>
  <c r="J35" i="24"/>
  <c r="K187" i="28"/>
  <c r="K74" i="21"/>
  <c r="P52" i="33"/>
  <c r="U52" i="32"/>
  <c r="P23" i="33"/>
  <c r="K15" i="33"/>
  <c r="P198" i="32"/>
  <c r="P75" i="21"/>
  <c r="P76" i="21"/>
  <c r="P199" i="33"/>
  <c r="P94" i="38"/>
  <c r="H56" i="39" s="1"/>
  <c r="T160" i="28"/>
  <c r="P17" i="33"/>
  <c r="P17" i="28"/>
  <c r="P17" i="32"/>
  <c r="U36" i="21"/>
  <c r="U48" i="32"/>
  <c r="U48" i="28"/>
  <c r="P178" i="38"/>
  <c r="H183" i="39" s="1"/>
  <c r="U181" i="39"/>
  <c r="P143" i="31"/>
  <c r="P44" i="9"/>
  <c r="T122" i="28"/>
  <c r="E182" i="33"/>
  <c r="H8" i="21"/>
  <c r="Q52" i="28"/>
  <c r="H46" i="21"/>
  <c r="H79" i="28"/>
  <c r="H79" i="32"/>
  <c r="H79" i="33"/>
  <c r="T32" i="33"/>
  <c r="T31" i="21"/>
  <c r="W182" i="33"/>
  <c r="T182" i="32"/>
  <c r="T8" i="21"/>
  <c r="T8" i="33"/>
  <c r="T8" i="28"/>
  <c r="T8" i="32"/>
  <c r="E48" i="32"/>
  <c r="E48" i="28"/>
  <c r="H17" i="21"/>
  <c r="E48" i="33"/>
  <c r="Q167" i="32"/>
  <c r="Q167" i="28"/>
  <c r="F13" i="33"/>
  <c r="R127" i="33"/>
  <c r="F13" i="28"/>
  <c r="F13" i="21"/>
  <c r="H8" i="28"/>
  <c r="K57" i="33"/>
  <c r="K57" i="32"/>
  <c r="T122" i="32"/>
  <c r="T122" i="33"/>
  <c r="T56" i="21"/>
  <c r="T121" i="32"/>
  <c r="K35" i="21"/>
  <c r="K57" i="28"/>
  <c r="E182" i="32"/>
  <c r="C51" i="21"/>
  <c r="Q52" i="32"/>
  <c r="R35" i="32"/>
  <c r="R125" i="33"/>
  <c r="U78" i="33"/>
  <c r="F13" i="32"/>
  <c r="H8" i="33"/>
  <c r="C9" i="21"/>
  <c r="C9" i="33"/>
  <c r="H17" i="33"/>
  <c r="C107" i="32"/>
  <c r="H17" i="28"/>
  <c r="C32" i="32"/>
  <c r="T16" i="21"/>
  <c r="C64" i="21"/>
  <c r="T121" i="28"/>
  <c r="C37" i="28"/>
  <c r="Q52" i="33"/>
  <c r="U198" i="33"/>
  <c r="T18" i="33"/>
  <c r="D37" i="9"/>
  <c r="C107" i="33"/>
  <c r="C107" i="28"/>
  <c r="R35" i="33"/>
  <c r="T16" i="28"/>
  <c r="T16" i="33"/>
  <c r="C145" i="32"/>
  <c r="C57" i="28"/>
  <c r="C57" i="33"/>
  <c r="C57" i="32"/>
  <c r="D27" i="9"/>
  <c r="C35" i="21"/>
  <c r="C32" i="33"/>
  <c r="C31" i="21"/>
  <c r="C32" i="28"/>
  <c r="T121" i="33"/>
  <c r="T55" i="21"/>
  <c r="T18" i="21"/>
  <c r="U179" i="32"/>
  <c r="F16" i="28"/>
  <c r="O20" i="32"/>
  <c r="F16" i="21"/>
  <c r="T18" i="32"/>
  <c r="C167" i="33"/>
  <c r="C167" i="32"/>
  <c r="C69" i="21"/>
  <c r="C167" i="28"/>
  <c r="T37" i="28"/>
  <c r="T37" i="32"/>
  <c r="T34" i="21"/>
  <c r="D26" i="9"/>
  <c r="C52" i="33"/>
  <c r="D29" i="9"/>
  <c r="C38" i="21"/>
  <c r="C52" i="28"/>
  <c r="C52" i="32"/>
  <c r="C136" i="32"/>
  <c r="D39" i="9"/>
  <c r="C136" i="28"/>
  <c r="C136" i="33"/>
  <c r="C61" i="21"/>
  <c r="E136" i="33"/>
  <c r="E136" i="32"/>
  <c r="E136" i="28"/>
  <c r="E61" i="21"/>
  <c r="D13" i="33"/>
  <c r="D13" i="32"/>
  <c r="D6" i="12"/>
  <c r="D13" i="28"/>
  <c r="D13" i="21"/>
  <c r="I126" i="39"/>
  <c r="P139" i="38"/>
  <c r="H126" i="39" s="1"/>
  <c r="L15" i="9"/>
  <c r="I21" i="28"/>
  <c r="I21" i="21"/>
  <c r="I21" i="33"/>
  <c r="E14" i="12"/>
  <c r="I21" i="32"/>
  <c r="U45" i="21"/>
  <c r="U78" i="28"/>
  <c r="C37" i="32"/>
  <c r="C34" i="21"/>
  <c r="F16" i="32"/>
  <c r="F16" i="33"/>
  <c r="C125" i="28"/>
  <c r="C125" i="33"/>
  <c r="C58" i="21"/>
  <c r="C125" i="32"/>
  <c r="C29" i="21"/>
  <c r="D23" i="9"/>
  <c r="C29" i="33"/>
  <c r="C22" i="12"/>
  <c r="C29" i="32"/>
  <c r="C29" i="28"/>
  <c r="P118" i="38"/>
  <c r="H101" i="39" s="1"/>
  <c r="I101" i="39"/>
  <c r="P130" i="38"/>
  <c r="H122" i="39" s="1"/>
  <c r="K122" i="39"/>
  <c r="L21" i="33"/>
  <c r="L21" i="21"/>
  <c r="L21" i="32"/>
  <c r="L21" i="28"/>
  <c r="C11" i="32"/>
  <c r="D6" i="9"/>
  <c r="C11" i="28"/>
  <c r="C11" i="21"/>
  <c r="C11" i="33"/>
  <c r="C4" i="12"/>
  <c r="P119" i="24"/>
  <c r="P137" i="38"/>
  <c r="T124" i="39" s="1"/>
  <c r="E72" i="21"/>
  <c r="E182" i="28"/>
  <c r="L79" i="39"/>
  <c r="P106" i="38"/>
  <c r="H79" i="39" s="1"/>
  <c r="P107" i="38"/>
  <c r="T79" i="39" s="1"/>
  <c r="X79" i="39"/>
  <c r="W182" i="32"/>
  <c r="W182" i="28"/>
  <c r="W72" i="21"/>
  <c r="H21" i="32"/>
  <c r="H21" i="28"/>
  <c r="H21" i="21"/>
  <c r="H21" i="33"/>
  <c r="T35" i="28"/>
  <c r="T37" i="21"/>
  <c r="T49" i="33"/>
  <c r="T49" i="28"/>
  <c r="T49" i="32"/>
  <c r="P179" i="38"/>
  <c r="T183" i="39" s="1"/>
  <c r="K16" i="32"/>
  <c r="K16" i="21"/>
  <c r="F24" i="12"/>
  <c r="K16" i="28"/>
  <c r="P11" i="9"/>
  <c r="K16" i="33"/>
  <c r="K136" i="33"/>
  <c r="K136" i="32"/>
  <c r="K61" i="21"/>
  <c r="P39" i="9"/>
  <c r="K136" i="28"/>
  <c r="K166" i="28"/>
  <c r="K166" i="32"/>
  <c r="K68" i="21"/>
  <c r="K166" i="33"/>
  <c r="P42" i="9"/>
  <c r="I48" i="32"/>
  <c r="I48" i="28"/>
  <c r="I36" i="21"/>
  <c r="I48" i="33"/>
  <c r="D125" i="28"/>
  <c r="D58" i="21"/>
  <c r="D125" i="33"/>
  <c r="D125" i="32"/>
  <c r="F127" i="32"/>
  <c r="F127" i="33"/>
  <c r="F127" i="28"/>
  <c r="F59" i="21"/>
  <c r="D35" i="32"/>
  <c r="D35" i="28"/>
  <c r="D35" i="33"/>
  <c r="D33" i="21"/>
  <c r="K24" i="28"/>
  <c r="K24" i="21"/>
  <c r="K24" i="33"/>
  <c r="K24" i="32"/>
  <c r="F28" i="33"/>
  <c r="F28" i="32"/>
  <c r="F28" i="21"/>
  <c r="F28" i="28"/>
  <c r="K11" i="21"/>
  <c r="P6" i="9"/>
  <c r="K11" i="33"/>
  <c r="K11" i="32"/>
  <c r="F4" i="12"/>
  <c r="K11" i="28"/>
  <c r="F15" i="32"/>
  <c r="F15" i="21"/>
  <c r="F15" i="28"/>
  <c r="F15" i="33"/>
  <c r="U163" i="39"/>
  <c r="P161" i="38"/>
  <c r="T163" i="39" s="1"/>
  <c r="L133" i="28"/>
  <c r="L133" i="33"/>
  <c r="L133" i="32"/>
  <c r="L60" i="21"/>
  <c r="E21" i="33"/>
  <c r="E21" i="32"/>
  <c r="E21" i="21"/>
  <c r="E21" i="28"/>
  <c r="E29" i="28"/>
  <c r="E29" i="21"/>
  <c r="E29" i="33"/>
  <c r="E29" i="32"/>
  <c r="C76" i="32"/>
  <c r="C76" i="33"/>
  <c r="C76" i="28"/>
  <c r="C44" i="21"/>
  <c r="D76" i="33"/>
  <c r="D76" i="32"/>
  <c r="D76" i="28"/>
  <c r="D44" i="21"/>
  <c r="F25" i="32"/>
  <c r="F25" i="28"/>
  <c r="F25" i="33"/>
  <c r="F25" i="21"/>
  <c r="D55" i="28"/>
  <c r="D55" i="32"/>
  <c r="D55" i="33"/>
  <c r="D39" i="21"/>
  <c r="C164" i="33"/>
  <c r="C164" i="28"/>
  <c r="C67" i="21"/>
  <c r="C164" i="32"/>
  <c r="K121" i="33"/>
  <c r="K121" i="32"/>
  <c r="K121" i="28"/>
  <c r="K55" i="21"/>
  <c r="K26" i="28"/>
  <c r="K26" i="33"/>
  <c r="K26" i="32"/>
  <c r="P20" i="9"/>
  <c r="K26" i="21"/>
  <c r="U180" i="39"/>
  <c r="P173" i="38"/>
  <c r="T180" i="39" s="1"/>
  <c r="I107" i="28"/>
  <c r="I107" i="33"/>
  <c r="L37" i="9"/>
  <c r="I107" i="32"/>
  <c r="I51" i="21"/>
  <c r="E199" i="32"/>
  <c r="E199" i="28"/>
  <c r="E76" i="21"/>
  <c r="E199" i="33"/>
  <c r="K115" i="32"/>
  <c r="K115" i="33"/>
  <c r="K53" i="21"/>
  <c r="K115" i="28"/>
  <c r="F23" i="33"/>
  <c r="F23" i="21"/>
  <c r="F23" i="32"/>
  <c r="F23" i="28"/>
  <c r="E27" i="32"/>
  <c r="E27" i="28"/>
  <c r="E27" i="33"/>
  <c r="E27" i="21"/>
  <c r="O52" i="28"/>
  <c r="O52" i="32"/>
  <c r="O38" i="21"/>
  <c r="O52" i="33"/>
  <c r="T145" i="33"/>
  <c r="T145" i="28"/>
  <c r="T64" i="21"/>
  <c r="T145" i="32"/>
  <c r="W49" i="39"/>
  <c r="P86" i="38"/>
  <c r="T49" i="39" s="1"/>
  <c r="W9" i="33"/>
  <c r="W9" i="28"/>
  <c r="W9" i="32"/>
  <c r="W9" i="21"/>
  <c r="Q9" i="33"/>
  <c r="Q9" i="32"/>
  <c r="Q9" i="28"/>
  <c r="Q9" i="21"/>
  <c r="U10" i="39"/>
  <c r="P14" i="38"/>
  <c r="T10" i="39" s="1"/>
  <c r="F32" i="33"/>
  <c r="F32" i="28"/>
  <c r="F32" i="32"/>
  <c r="F31" i="21"/>
  <c r="I32" i="33"/>
  <c r="I32" i="28"/>
  <c r="I31" i="21"/>
  <c r="I32" i="32"/>
  <c r="C56" i="33"/>
  <c r="C40" i="21"/>
  <c r="C56" i="28"/>
  <c r="C56" i="32"/>
  <c r="I56" i="33"/>
  <c r="I56" i="28"/>
  <c r="I56" i="32"/>
  <c r="I40" i="21"/>
  <c r="K9" i="33"/>
  <c r="K9" i="32"/>
  <c r="F3" i="12"/>
  <c r="K9" i="21"/>
  <c r="K9" i="28"/>
  <c r="P4" i="9"/>
  <c r="P80" i="38"/>
  <c r="T37" i="39" s="1"/>
  <c r="U37" i="39"/>
  <c r="R16" i="33"/>
  <c r="R16" i="32"/>
  <c r="R16" i="28"/>
  <c r="R16" i="21"/>
  <c r="E37" i="32"/>
  <c r="E34" i="21"/>
  <c r="E37" i="28"/>
  <c r="E37" i="33"/>
  <c r="K37" i="28"/>
  <c r="P26" i="9"/>
  <c r="K37" i="33"/>
  <c r="K34" i="21"/>
  <c r="K37" i="32"/>
  <c r="C123" i="33"/>
  <c r="C123" i="32"/>
  <c r="C123" i="28"/>
  <c r="D38" i="9"/>
  <c r="C57" i="21"/>
  <c r="Q125" i="28"/>
  <c r="Q125" i="33"/>
  <c r="Q125" i="32"/>
  <c r="Q58" i="21"/>
  <c r="O20" i="28"/>
  <c r="D49" i="32"/>
  <c r="D49" i="28"/>
  <c r="D37" i="21"/>
  <c r="D49" i="33"/>
  <c r="L22" i="32"/>
  <c r="L22" i="33"/>
  <c r="L22" i="21"/>
  <c r="L22" i="28"/>
  <c r="P166" i="32"/>
  <c r="P166" i="28"/>
  <c r="P68" i="21"/>
  <c r="P166" i="33"/>
  <c r="X29" i="28"/>
  <c r="X29" i="33"/>
  <c r="X29" i="21"/>
  <c r="X29" i="32"/>
  <c r="D78" i="28"/>
  <c r="D78" i="33"/>
  <c r="D78" i="32"/>
  <c r="D45" i="21"/>
  <c r="D100" i="33"/>
  <c r="D100" i="32"/>
  <c r="D49" i="21"/>
  <c r="D100" i="28"/>
  <c r="L100" i="33"/>
  <c r="L100" i="28"/>
  <c r="L100" i="32"/>
  <c r="L49" i="21"/>
  <c r="K20" i="33"/>
  <c r="K20" i="32"/>
  <c r="P14" i="9"/>
  <c r="F13" i="12"/>
  <c r="K20" i="28"/>
  <c r="K20" i="21"/>
  <c r="D9" i="12"/>
  <c r="D18" i="21"/>
  <c r="D18" i="33"/>
  <c r="D18" i="28"/>
  <c r="D18" i="32"/>
  <c r="F18" i="32"/>
  <c r="F18" i="21"/>
  <c r="F18" i="28"/>
  <c r="F18" i="33"/>
  <c r="P167" i="28"/>
  <c r="P167" i="32"/>
  <c r="P167" i="33"/>
  <c r="P69" i="21"/>
  <c r="Q100" i="28"/>
  <c r="Q49" i="21"/>
  <c r="Q100" i="32"/>
  <c r="Q100" i="33"/>
  <c r="R79" i="33"/>
  <c r="R79" i="32"/>
  <c r="R46" i="21"/>
  <c r="R79" i="28"/>
  <c r="O46" i="21"/>
  <c r="O79" i="28"/>
  <c r="O79" i="32"/>
  <c r="W79" i="32"/>
  <c r="W46" i="21"/>
  <c r="W79" i="33"/>
  <c r="W79" i="28"/>
  <c r="W133" i="33"/>
  <c r="W133" i="32"/>
  <c r="W133" i="28"/>
  <c r="W60" i="21"/>
  <c r="P123" i="32"/>
  <c r="P123" i="28"/>
  <c r="P123" i="33"/>
  <c r="P57" i="21"/>
  <c r="R187" i="32"/>
  <c r="R187" i="28"/>
  <c r="R74" i="21"/>
  <c r="R187" i="33"/>
  <c r="P125" i="33"/>
  <c r="P125" i="32"/>
  <c r="P58" i="21"/>
  <c r="R127" i="28"/>
  <c r="R59" i="21"/>
  <c r="W127" i="33"/>
  <c r="W127" i="32"/>
  <c r="W127" i="28"/>
  <c r="W59" i="21"/>
  <c r="T22" i="32"/>
  <c r="T22" i="21"/>
  <c r="T22" i="28"/>
  <c r="T22" i="33"/>
  <c r="C9" i="32"/>
  <c r="D73" i="21"/>
  <c r="W35" i="33"/>
  <c r="W33" i="21"/>
  <c r="P125" i="28"/>
  <c r="L16" i="33"/>
  <c r="L16" i="28"/>
  <c r="L16" i="32"/>
  <c r="L16" i="21"/>
  <c r="E16" i="28"/>
  <c r="E16" i="21"/>
  <c r="E16" i="32"/>
  <c r="E16" i="33"/>
  <c r="F61" i="21"/>
  <c r="F136" i="28"/>
  <c r="F136" i="33"/>
  <c r="F136" i="32"/>
  <c r="C59" i="21"/>
  <c r="C127" i="32"/>
  <c r="C127" i="33"/>
  <c r="D32" i="9"/>
  <c r="C127" i="28"/>
  <c r="H15" i="28"/>
  <c r="H15" i="21"/>
  <c r="H15" i="33"/>
  <c r="H15" i="32"/>
  <c r="F21" i="12"/>
  <c r="K28" i="33"/>
  <c r="K28" i="21"/>
  <c r="P22" i="9"/>
  <c r="K28" i="28"/>
  <c r="K28" i="32"/>
  <c r="P17" i="39"/>
  <c r="J35" i="38"/>
  <c r="Q17" i="39" s="1"/>
  <c r="C91" i="33"/>
  <c r="C91" i="32"/>
  <c r="C91" i="28"/>
  <c r="C48" i="21"/>
  <c r="C48" i="32"/>
  <c r="C36" i="21"/>
  <c r="C48" i="28"/>
  <c r="C48" i="33"/>
  <c r="K125" i="32"/>
  <c r="K125" i="33"/>
  <c r="K58" i="21"/>
  <c r="K125" i="28"/>
  <c r="E198" i="32"/>
  <c r="E75" i="21"/>
  <c r="E198" i="33"/>
  <c r="E198" i="28"/>
  <c r="E35" i="32"/>
  <c r="E35" i="28"/>
  <c r="E35" i="33"/>
  <c r="E33" i="21"/>
  <c r="C24" i="32"/>
  <c r="D18" i="9"/>
  <c r="C17" i="12"/>
  <c r="C24" i="33"/>
  <c r="C24" i="28"/>
  <c r="C24" i="21"/>
  <c r="E28" i="33"/>
  <c r="E28" i="21"/>
  <c r="E28" i="28"/>
  <c r="E28" i="32"/>
  <c r="I11" i="21"/>
  <c r="L6" i="9"/>
  <c r="I11" i="28"/>
  <c r="I11" i="33"/>
  <c r="I11" i="32"/>
  <c r="C15" i="33"/>
  <c r="C15" i="32"/>
  <c r="C15" i="28"/>
  <c r="C15" i="21"/>
  <c r="D10" i="9"/>
  <c r="C12" i="12"/>
  <c r="I29" i="33"/>
  <c r="I29" i="28"/>
  <c r="I29" i="32"/>
  <c r="I29" i="21"/>
  <c r="L23" i="9"/>
  <c r="D21" i="33"/>
  <c r="D21" i="21"/>
  <c r="D21" i="32"/>
  <c r="D21" i="28"/>
  <c r="D14" i="12"/>
  <c r="D162" i="28"/>
  <c r="D66" i="21"/>
  <c r="D162" i="33"/>
  <c r="D162" i="32"/>
  <c r="K29" i="28"/>
  <c r="P23" i="9"/>
  <c r="K29" i="33"/>
  <c r="K29" i="32"/>
  <c r="E22" i="12"/>
  <c r="K29" i="21"/>
  <c r="P10" i="38"/>
  <c r="H9" i="39" s="1"/>
  <c r="I9" i="39"/>
  <c r="D199" i="32"/>
  <c r="D199" i="33"/>
  <c r="D199" i="28"/>
  <c r="D76" i="21"/>
  <c r="L76" i="32"/>
  <c r="L76" i="33"/>
  <c r="L44" i="21"/>
  <c r="L76" i="28"/>
  <c r="I76" i="33"/>
  <c r="I76" i="32"/>
  <c r="I76" i="28"/>
  <c r="I44" i="21"/>
  <c r="H25" i="21"/>
  <c r="H25" i="28"/>
  <c r="H25" i="32"/>
  <c r="H25" i="33"/>
  <c r="E25" i="33"/>
  <c r="E25" i="28"/>
  <c r="E25" i="32"/>
  <c r="E25" i="21"/>
  <c r="C17" i="32"/>
  <c r="C17" i="28"/>
  <c r="D12" i="9"/>
  <c r="C17" i="21"/>
  <c r="C17" i="33"/>
  <c r="C8" i="12"/>
  <c r="E57" i="33"/>
  <c r="E57" i="32"/>
  <c r="E35" i="21"/>
  <c r="E57" i="28"/>
  <c r="K55" i="32"/>
  <c r="K39" i="21"/>
  <c r="K55" i="28"/>
  <c r="K55" i="33"/>
  <c r="P30" i="9"/>
  <c r="E164" i="32"/>
  <c r="E164" i="28"/>
  <c r="E67" i="21"/>
  <c r="E164" i="33"/>
  <c r="I121" i="32"/>
  <c r="I121" i="28"/>
  <c r="I55" i="21"/>
  <c r="I121" i="33"/>
  <c r="D182" i="28"/>
  <c r="D182" i="32"/>
  <c r="D182" i="33"/>
  <c r="D72" i="21"/>
  <c r="D26" i="28"/>
  <c r="D19" i="12"/>
  <c r="D26" i="32"/>
  <c r="D26" i="21"/>
  <c r="D26" i="33"/>
  <c r="H26" i="32"/>
  <c r="H26" i="28"/>
  <c r="H26" i="33"/>
  <c r="H26" i="21"/>
  <c r="H13" i="28"/>
  <c r="H13" i="32"/>
  <c r="H13" i="21"/>
  <c r="H13" i="33"/>
  <c r="W48" i="21"/>
  <c r="W91" i="33"/>
  <c r="W91" i="28"/>
  <c r="W91" i="32"/>
  <c r="U179" i="28"/>
  <c r="U70" i="21"/>
  <c r="H199" i="33"/>
  <c r="H76" i="21"/>
  <c r="H199" i="32"/>
  <c r="H199" i="28"/>
  <c r="L199" i="33"/>
  <c r="L199" i="28"/>
  <c r="L199" i="32"/>
  <c r="L76" i="21"/>
  <c r="E115" i="33"/>
  <c r="E115" i="28"/>
  <c r="E53" i="21"/>
  <c r="E115" i="32"/>
  <c r="O55" i="28"/>
  <c r="O55" i="33"/>
  <c r="O55" i="32"/>
  <c r="O39" i="21"/>
  <c r="P188" i="31"/>
  <c r="E85" i="33"/>
  <c r="E85" i="32"/>
  <c r="E47" i="21"/>
  <c r="E85" i="28"/>
  <c r="D107" i="32"/>
  <c r="D51" i="21"/>
  <c r="D107" i="33"/>
  <c r="D107" i="28"/>
  <c r="I160" i="32"/>
  <c r="I160" i="28"/>
  <c r="I160" i="33"/>
  <c r="I65" i="21"/>
  <c r="C122" i="33"/>
  <c r="C122" i="28"/>
  <c r="C56" i="21"/>
  <c r="C122" i="32"/>
  <c r="E179" i="32"/>
  <c r="E179" i="28"/>
  <c r="E179" i="33"/>
  <c r="E70" i="21"/>
  <c r="L23" i="32"/>
  <c r="L23" i="28"/>
  <c r="L23" i="33"/>
  <c r="L23" i="21"/>
  <c r="K23" i="33"/>
  <c r="K23" i="32"/>
  <c r="K23" i="21"/>
  <c r="K23" i="28"/>
  <c r="P17" i="9"/>
  <c r="D27" i="33"/>
  <c r="D27" i="28"/>
  <c r="D27" i="21"/>
  <c r="D27" i="32"/>
  <c r="K14" i="32"/>
  <c r="K14" i="21"/>
  <c r="K14" i="28"/>
  <c r="F7" i="12"/>
  <c r="K14" i="33"/>
  <c r="P9" i="9"/>
  <c r="E10" i="32"/>
  <c r="E10" i="21"/>
  <c r="E10" i="28"/>
  <c r="E10" i="33"/>
  <c r="P47" i="38"/>
  <c r="T22" i="39" s="1"/>
  <c r="W22" i="39"/>
  <c r="U76" i="32"/>
  <c r="U76" i="33"/>
  <c r="U76" i="28"/>
  <c r="U44" i="21"/>
  <c r="U77" i="39"/>
  <c r="P104" i="38"/>
  <c r="T77" i="39" s="1"/>
  <c r="O198" i="33"/>
  <c r="O198" i="32"/>
  <c r="O75" i="21"/>
  <c r="O198" i="28"/>
  <c r="I165" i="39"/>
  <c r="P163" i="38"/>
  <c r="H165" i="39" s="1"/>
  <c r="I124" i="39"/>
  <c r="P136" i="38"/>
  <c r="H124" i="39" s="1"/>
  <c r="I27" i="39"/>
  <c r="P61" i="38"/>
  <c r="H27" i="39" s="1"/>
  <c r="K167" i="39"/>
  <c r="P166" i="38"/>
  <c r="H167" i="39" s="1"/>
  <c r="E32" i="28"/>
  <c r="E31" i="21"/>
  <c r="E32" i="32"/>
  <c r="E32" i="33"/>
  <c r="E56" i="33"/>
  <c r="E56" i="28"/>
  <c r="E56" i="32"/>
  <c r="E40" i="21"/>
  <c r="E9" i="28"/>
  <c r="E9" i="33"/>
  <c r="E9" i="32"/>
  <c r="E9" i="21"/>
  <c r="D52" i="32"/>
  <c r="D38" i="21"/>
  <c r="D52" i="28"/>
  <c r="D52" i="33"/>
  <c r="D145" i="32"/>
  <c r="D145" i="28"/>
  <c r="D145" i="33"/>
  <c r="D64" i="21"/>
  <c r="P80" i="31"/>
  <c r="O16" i="32"/>
  <c r="O16" i="28"/>
  <c r="O16" i="33"/>
  <c r="O16" i="21"/>
  <c r="X116" i="39"/>
  <c r="P125" i="38"/>
  <c r="T116" i="39" s="1"/>
  <c r="F34" i="21"/>
  <c r="F37" i="28"/>
  <c r="F37" i="33"/>
  <c r="F37" i="32"/>
  <c r="D123" i="33"/>
  <c r="D123" i="28"/>
  <c r="D57" i="21"/>
  <c r="D123" i="32"/>
  <c r="K8" i="28"/>
  <c r="K8" i="32"/>
  <c r="U35" i="28"/>
  <c r="U33" i="21"/>
  <c r="U35" i="33"/>
  <c r="U35" i="32"/>
  <c r="C22" i="28"/>
  <c r="C22" i="21"/>
  <c r="C15" i="12"/>
  <c r="D16" i="9"/>
  <c r="C22" i="33"/>
  <c r="C22" i="32"/>
  <c r="K22" i="33"/>
  <c r="K22" i="28"/>
  <c r="K22" i="32"/>
  <c r="P16" i="9"/>
  <c r="K22" i="21"/>
  <c r="P161" i="24"/>
  <c r="P167" i="38"/>
  <c r="T167" i="39" s="1"/>
  <c r="W167" i="39"/>
  <c r="Q91" i="33"/>
  <c r="Q91" i="28"/>
  <c r="Q48" i="21"/>
  <c r="Q91" i="32"/>
  <c r="L78" i="33"/>
  <c r="L45" i="21"/>
  <c r="L78" i="28"/>
  <c r="L78" i="32"/>
  <c r="F100" i="33"/>
  <c r="F100" i="28"/>
  <c r="F49" i="21"/>
  <c r="F100" i="32"/>
  <c r="E100" i="32"/>
  <c r="E100" i="33"/>
  <c r="E100" i="28"/>
  <c r="E49" i="21"/>
  <c r="C20" i="33"/>
  <c r="C20" i="21"/>
  <c r="C20" i="28"/>
  <c r="C13" i="12"/>
  <c r="D14" i="9"/>
  <c r="C20" i="32"/>
  <c r="E18" i="28"/>
  <c r="E18" i="33"/>
  <c r="E18" i="21"/>
  <c r="E18" i="32"/>
  <c r="I18" i="28"/>
  <c r="I18" i="21"/>
  <c r="E9" i="12"/>
  <c r="I18" i="33"/>
  <c r="L13" i="9"/>
  <c r="I18" i="32"/>
  <c r="P25" i="21"/>
  <c r="P25" i="32"/>
  <c r="P25" i="28"/>
  <c r="U13" i="28"/>
  <c r="U13" i="21"/>
  <c r="U13" i="32"/>
  <c r="U13" i="33"/>
  <c r="U125" i="33"/>
  <c r="U125" i="32"/>
  <c r="U125" i="28"/>
  <c r="U58" i="21"/>
  <c r="Q123" i="32"/>
  <c r="Q57" i="21"/>
  <c r="Q123" i="28"/>
  <c r="Q123" i="33"/>
  <c r="I34" i="32"/>
  <c r="I34" i="33"/>
  <c r="I32" i="21"/>
  <c r="I34" i="28"/>
  <c r="D34" i="28"/>
  <c r="D34" i="33"/>
  <c r="D34" i="32"/>
  <c r="D32" i="21"/>
  <c r="U100" i="33"/>
  <c r="U100" i="32"/>
  <c r="U100" i="28"/>
  <c r="U49" i="21"/>
  <c r="P140" i="24"/>
  <c r="U134" i="39"/>
  <c r="P146" i="38"/>
  <c r="T134" i="39" s="1"/>
  <c r="P77" i="24"/>
  <c r="R20" i="32"/>
  <c r="R20" i="28"/>
  <c r="R20" i="21"/>
  <c r="R20" i="33"/>
  <c r="P20" i="32"/>
  <c r="P20" i="28"/>
  <c r="P20" i="33"/>
  <c r="P20" i="21"/>
  <c r="I49" i="28"/>
  <c r="L28" i="9"/>
  <c r="I49" i="33"/>
  <c r="I37" i="21"/>
  <c r="I49" i="32"/>
  <c r="W123" i="32"/>
  <c r="W123" i="33"/>
  <c r="W57" i="21"/>
  <c r="W123" i="28"/>
  <c r="R125" i="28"/>
  <c r="R58" i="21"/>
  <c r="Q127" i="32"/>
  <c r="Q127" i="33"/>
  <c r="Q127" i="28"/>
  <c r="Q59" i="21"/>
  <c r="T162" i="32"/>
  <c r="T66" i="21"/>
  <c r="T162" i="33"/>
  <c r="T162" i="28"/>
  <c r="T136" i="28"/>
  <c r="T136" i="33"/>
  <c r="T61" i="21"/>
  <c r="T136" i="32"/>
  <c r="T20" i="33"/>
  <c r="T20" i="28"/>
  <c r="T20" i="32"/>
  <c r="T20" i="21"/>
  <c r="T91" i="33"/>
  <c r="T91" i="32"/>
  <c r="T48" i="21"/>
  <c r="T91" i="28"/>
  <c r="K34" i="32"/>
  <c r="K34" i="33"/>
  <c r="K32" i="21"/>
  <c r="K34" i="28"/>
  <c r="U101" i="39"/>
  <c r="P119" i="38"/>
  <c r="T101" i="39" s="1"/>
  <c r="O35" i="28"/>
  <c r="O35" i="33"/>
  <c r="O35" i="32"/>
  <c r="O33" i="21"/>
  <c r="U35" i="39"/>
  <c r="P77" i="38"/>
  <c r="T35" i="39" s="1"/>
  <c r="P143" i="38"/>
  <c r="T128" i="39" s="1"/>
  <c r="W128" i="39"/>
  <c r="C145" i="33"/>
  <c r="C3" i="12"/>
  <c r="D4" i="9"/>
  <c r="D41" i="9"/>
  <c r="D24" i="12"/>
  <c r="D16" i="32"/>
  <c r="D16" i="21"/>
  <c r="D16" i="28"/>
  <c r="D16" i="33"/>
  <c r="E79" i="28"/>
  <c r="E79" i="33"/>
  <c r="E46" i="21"/>
  <c r="E79" i="32"/>
  <c r="I136" i="32"/>
  <c r="L39" i="9"/>
  <c r="I136" i="28"/>
  <c r="I136" i="33"/>
  <c r="I61" i="21"/>
  <c r="C187" i="33"/>
  <c r="C187" i="28"/>
  <c r="C74" i="21"/>
  <c r="C187" i="32"/>
  <c r="D44" i="9"/>
  <c r="D15" i="32"/>
  <c r="D15" i="28"/>
  <c r="D15" i="21"/>
  <c r="D12" i="12"/>
  <c r="D15" i="33"/>
  <c r="D12" i="33"/>
  <c r="D12" i="21"/>
  <c r="D12" i="32"/>
  <c r="D12" i="28"/>
  <c r="D5" i="12"/>
  <c r="E91" i="33"/>
  <c r="E91" i="32"/>
  <c r="E48" i="21"/>
  <c r="E91" i="28"/>
  <c r="K48" i="28"/>
  <c r="K48" i="33"/>
  <c r="K36" i="21"/>
  <c r="K48" i="32"/>
  <c r="K127" i="28"/>
  <c r="K59" i="21"/>
  <c r="K127" i="33"/>
  <c r="K127" i="32"/>
  <c r="P32" i="9"/>
  <c r="I198" i="28"/>
  <c r="I198" i="33"/>
  <c r="I75" i="21"/>
  <c r="I198" i="32"/>
  <c r="I35" i="28"/>
  <c r="I35" i="33"/>
  <c r="I33" i="21"/>
  <c r="L25" i="9"/>
  <c r="I35" i="32"/>
  <c r="E24" i="33"/>
  <c r="E24" i="28"/>
  <c r="E24" i="32"/>
  <c r="E24" i="21"/>
  <c r="D28" i="28"/>
  <c r="D28" i="32"/>
  <c r="D28" i="21"/>
  <c r="D28" i="33"/>
  <c r="E11" i="28"/>
  <c r="E11" i="21"/>
  <c r="E11" i="33"/>
  <c r="E11" i="32"/>
  <c r="C133" i="28"/>
  <c r="C133" i="33"/>
  <c r="C133" i="32"/>
  <c r="C60" i="21"/>
  <c r="F21" i="33"/>
  <c r="F21" i="21"/>
  <c r="F21" i="28"/>
  <c r="F21" i="32"/>
  <c r="E162" i="28"/>
  <c r="E162" i="33"/>
  <c r="E162" i="32"/>
  <c r="E66" i="21"/>
  <c r="F29" i="32"/>
  <c r="F29" i="21"/>
  <c r="F29" i="33"/>
  <c r="F29" i="28"/>
  <c r="U17" i="33"/>
  <c r="U17" i="32"/>
  <c r="U17" i="21"/>
  <c r="U17" i="28"/>
  <c r="C85" i="28"/>
  <c r="C47" i="21"/>
  <c r="C85" i="33"/>
  <c r="C85" i="32"/>
  <c r="D35" i="9"/>
  <c r="F76" i="33"/>
  <c r="F76" i="32"/>
  <c r="F44" i="21"/>
  <c r="F76" i="28"/>
  <c r="D167" i="32"/>
  <c r="D167" i="28"/>
  <c r="D69" i="21"/>
  <c r="D167" i="33"/>
  <c r="I25" i="28"/>
  <c r="I25" i="33"/>
  <c r="I25" i="21"/>
  <c r="I25" i="32"/>
  <c r="E18" i="12"/>
  <c r="L19" i="9"/>
  <c r="K25" i="32"/>
  <c r="K25" i="28"/>
  <c r="K25" i="33"/>
  <c r="K25" i="21"/>
  <c r="P19" i="9"/>
  <c r="I17" i="33"/>
  <c r="I17" i="21"/>
  <c r="I17" i="28"/>
  <c r="L12" i="9"/>
  <c r="I17" i="32"/>
  <c r="E8" i="12"/>
  <c r="Q8" i="32"/>
  <c r="Q8" i="21"/>
  <c r="Q8" i="28"/>
  <c r="Q8" i="33"/>
  <c r="D57" i="28"/>
  <c r="D57" i="33"/>
  <c r="D57" i="32"/>
  <c r="D35" i="21"/>
  <c r="C55" i="32"/>
  <c r="C55" i="28"/>
  <c r="C55" i="33"/>
  <c r="C39" i="21"/>
  <c r="D30" i="9"/>
  <c r="D164" i="32"/>
  <c r="D67" i="21"/>
  <c r="D164" i="28"/>
  <c r="D164" i="33"/>
  <c r="C121" i="33"/>
  <c r="C121" i="28"/>
  <c r="C55" i="21"/>
  <c r="C121" i="32"/>
  <c r="E121" i="28"/>
  <c r="E121" i="32"/>
  <c r="E121" i="33"/>
  <c r="E55" i="21"/>
  <c r="E26" i="28"/>
  <c r="E26" i="33"/>
  <c r="E26" i="32"/>
  <c r="E26" i="21"/>
  <c r="E13" i="33"/>
  <c r="E13" i="32"/>
  <c r="E13" i="28"/>
  <c r="E13" i="21"/>
  <c r="P122" i="38"/>
  <c r="T108" i="39" s="1"/>
  <c r="U108" i="39"/>
  <c r="P158" i="38"/>
  <c r="T161" i="39" s="1"/>
  <c r="U161" i="39"/>
  <c r="U123" i="39"/>
  <c r="P134" i="38"/>
  <c r="T123" i="39" s="1"/>
  <c r="P148" i="38"/>
  <c r="H137" i="39" s="1"/>
  <c r="I137" i="39"/>
  <c r="J34" i="38"/>
  <c r="E17" i="39" s="1"/>
  <c r="C17" i="39"/>
  <c r="E107" i="32"/>
  <c r="E107" i="33"/>
  <c r="E51" i="21"/>
  <c r="E107" i="28"/>
  <c r="C76" i="21"/>
  <c r="D45" i="9"/>
  <c r="C199" i="33"/>
  <c r="C199" i="32"/>
  <c r="C199" i="28"/>
  <c r="D117" i="32"/>
  <c r="D117" i="28"/>
  <c r="D54" i="21"/>
  <c r="D117" i="33"/>
  <c r="C115" i="33"/>
  <c r="C115" i="28"/>
  <c r="C53" i="21"/>
  <c r="C115" i="32"/>
  <c r="W55" i="33"/>
  <c r="W55" i="32"/>
  <c r="W39" i="21"/>
  <c r="W55" i="28"/>
  <c r="R55" i="33"/>
  <c r="R55" i="32"/>
  <c r="R55" i="28"/>
  <c r="R39" i="21"/>
  <c r="P182" i="33"/>
  <c r="P182" i="32"/>
  <c r="P72" i="21"/>
  <c r="P182" i="28"/>
  <c r="K59" i="32"/>
  <c r="K59" i="28"/>
  <c r="P31" i="9"/>
  <c r="K59" i="33"/>
  <c r="K42" i="21"/>
  <c r="D85" i="28"/>
  <c r="D47" i="21"/>
  <c r="D85" i="32"/>
  <c r="D85" i="33"/>
  <c r="L107" i="32"/>
  <c r="L107" i="28"/>
  <c r="L107" i="33"/>
  <c r="L51" i="21"/>
  <c r="E160" i="28"/>
  <c r="E160" i="33"/>
  <c r="E160" i="32"/>
  <c r="E65" i="21"/>
  <c r="K122" i="32"/>
  <c r="K56" i="21"/>
  <c r="K122" i="33"/>
  <c r="K122" i="28"/>
  <c r="D179" i="33"/>
  <c r="D179" i="28"/>
  <c r="D70" i="21"/>
  <c r="D179" i="32"/>
  <c r="H23" i="28"/>
  <c r="H23" i="33"/>
  <c r="H23" i="32"/>
  <c r="H23" i="21"/>
  <c r="E23" i="28"/>
  <c r="E23" i="21"/>
  <c r="E23" i="33"/>
  <c r="E23" i="32"/>
  <c r="L14" i="33"/>
  <c r="L14" i="28"/>
  <c r="L14" i="21"/>
  <c r="L14" i="32"/>
  <c r="C14" i="33"/>
  <c r="C14" i="32"/>
  <c r="C14" i="21"/>
  <c r="C14" i="28"/>
  <c r="D9" i="9"/>
  <c r="C7" i="12"/>
  <c r="K10" i="33"/>
  <c r="K10" i="32"/>
  <c r="P5" i="9"/>
  <c r="K10" i="28"/>
  <c r="K10" i="21"/>
  <c r="Q38" i="21"/>
  <c r="R76" i="32"/>
  <c r="R76" i="33"/>
  <c r="R44" i="21"/>
  <c r="R76" i="28"/>
  <c r="O76" i="33"/>
  <c r="O76" i="32"/>
  <c r="O44" i="21"/>
  <c r="O76" i="28"/>
  <c r="P48" i="32"/>
  <c r="P48" i="28"/>
  <c r="P48" i="33"/>
  <c r="P36" i="21"/>
  <c r="U75" i="21"/>
  <c r="U198" i="28"/>
  <c r="U198" i="32"/>
  <c r="W9" i="39"/>
  <c r="P11" i="38"/>
  <c r="T9" i="39" s="1"/>
  <c r="W14" i="33"/>
  <c r="W14" i="32"/>
  <c r="W14" i="28"/>
  <c r="W14" i="21"/>
  <c r="I57" i="39"/>
  <c r="P97" i="38"/>
  <c r="H57" i="39" s="1"/>
  <c r="P91" i="38"/>
  <c r="H53" i="39" s="1"/>
  <c r="I53" i="39"/>
  <c r="P13" i="38"/>
  <c r="H10" i="39" s="1"/>
  <c r="I10" i="39"/>
  <c r="I11" i="39"/>
  <c r="P16" i="38"/>
  <c r="H11" i="39" s="1"/>
  <c r="K48" i="21"/>
  <c r="K91" i="32"/>
  <c r="K91" i="33"/>
  <c r="K91" i="28"/>
  <c r="D32" i="28"/>
  <c r="D32" i="33"/>
  <c r="D32" i="32"/>
  <c r="D31" i="21"/>
  <c r="D56" i="33"/>
  <c r="D56" i="32"/>
  <c r="D40" i="21"/>
  <c r="D56" i="28"/>
  <c r="I9" i="32"/>
  <c r="I9" i="21"/>
  <c r="I9" i="28"/>
  <c r="L4" i="9"/>
  <c r="I9" i="33"/>
  <c r="E3" i="12"/>
  <c r="H145" i="33"/>
  <c r="H145" i="32"/>
  <c r="H145" i="28"/>
  <c r="H64" i="21"/>
  <c r="P32" i="38"/>
  <c r="T16" i="39" s="1"/>
  <c r="U16" i="39"/>
  <c r="P158" i="31"/>
  <c r="R32" i="21"/>
  <c r="R34" i="33"/>
  <c r="R34" i="28"/>
  <c r="R34" i="32"/>
  <c r="W115" i="32"/>
  <c r="W115" i="28"/>
  <c r="W53" i="21"/>
  <c r="W115" i="33"/>
  <c r="I37" i="33"/>
  <c r="L26" i="9"/>
  <c r="I37" i="32"/>
  <c r="I34" i="21"/>
  <c r="I37" i="28"/>
  <c r="I123" i="33"/>
  <c r="I57" i="21"/>
  <c r="I123" i="28"/>
  <c r="L38" i="9"/>
  <c r="I123" i="32"/>
  <c r="P20" i="38"/>
  <c r="T12" i="39" s="1"/>
  <c r="T164" i="32"/>
  <c r="T164" i="28"/>
  <c r="T164" i="33"/>
  <c r="T67" i="21"/>
  <c r="R33" i="21"/>
  <c r="D22" i="32"/>
  <c r="D22" i="33"/>
  <c r="D22" i="28"/>
  <c r="D22" i="21"/>
  <c r="E22" i="33"/>
  <c r="E22" i="28"/>
  <c r="E22" i="21"/>
  <c r="E22" i="32"/>
  <c r="W166" i="33"/>
  <c r="W166" i="32"/>
  <c r="W68" i="21"/>
  <c r="W166" i="28"/>
  <c r="P176" i="31"/>
  <c r="P91" i="32"/>
  <c r="P91" i="28"/>
  <c r="P48" i="21"/>
  <c r="P91" i="33"/>
  <c r="O29" i="28"/>
  <c r="O29" i="21"/>
  <c r="O29" i="33"/>
  <c r="O29" i="32"/>
  <c r="U29" i="21"/>
  <c r="U29" i="33"/>
  <c r="U29" i="28"/>
  <c r="U29" i="32"/>
  <c r="I78" i="33"/>
  <c r="I78" i="32"/>
  <c r="I45" i="21"/>
  <c r="L33" i="9"/>
  <c r="I78" i="28"/>
  <c r="E78" i="32"/>
  <c r="E78" i="28"/>
  <c r="E78" i="33"/>
  <c r="E45" i="21"/>
  <c r="I100" i="32"/>
  <c r="I49" i="21"/>
  <c r="L36" i="9"/>
  <c r="I100" i="28"/>
  <c r="I100" i="33"/>
  <c r="D20" i="33"/>
  <c r="D20" i="21"/>
  <c r="D20" i="32"/>
  <c r="D20" i="28"/>
  <c r="K18" i="33"/>
  <c r="F9" i="12"/>
  <c r="K18" i="32"/>
  <c r="K18" i="21"/>
  <c r="P13" i="9"/>
  <c r="K18" i="28"/>
  <c r="U25" i="28"/>
  <c r="U25" i="33"/>
  <c r="U25" i="21"/>
  <c r="U25" i="32"/>
  <c r="R25" i="32"/>
  <c r="R25" i="33"/>
  <c r="R25" i="28"/>
  <c r="R25" i="21"/>
  <c r="Q13" i="33"/>
  <c r="Q13" i="32"/>
  <c r="Q13" i="28"/>
  <c r="Q13" i="21"/>
  <c r="C34" i="32"/>
  <c r="C34" i="33"/>
  <c r="C32" i="21"/>
  <c r="C34" i="28"/>
  <c r="F34" i="33"/>
  <c r="F34" i="32"/>
  <c r="F32" i="21"/>
  <c r="F34" i="28"/>
  <c r="U79" i="33"/>
  <c r="U79" i="28"/>
  <c r="U46" i="21"/>
  <c r="U79" i="32"/>
  <c r="P100" i="28"/>
  <c r="P100" i="33"/>
  <c r="P100" i="32"/>
  <c r="P49" i="21"/>
  <c r="R100" i="33"/>
  <c r="R100" i="32"/>
  <c r="R100" i="28"/>
  <c r="R49" i="21"/>
  <c r="O133" i="28"/>
  <c r="O133" i="33"/>
  <c r="O133" i="32"/>
  <c r="O60" i="21"/>
  <c r="P155" i="31"/>
  <c r="P35" i="33"/>
  <c r="P35" i="32"/>
  <c r="P35" i="28"/>
  <c r="P33" i="21"/>
  <c r="I50" i="39"/>
  <c r="P88" i="38"/>
  <c r="H50" i="39" s="1"/>
  <c r="P146" i="31"/>
  <c r="U123" i="32"/>
  <c r="U123" i="28"/>
  <c r="U57" i="21"/>
  <c r="U123" i="33"/>
  <c r="W187" i="33"/>
  <c r="W187" i="32"/>
  <c r="W187" i="28"/>
  <c r="W74" i="21"/>
  <c r="P137" i="24"/>
  <c r="P140" i="38"/>
  <c r="T126" i="39" s="1"/>
  <c r="U126" i="39"/>
  <c r="O127" i="32"/>
  <c r="O127" i="28"/>
  <c r="O127" i="33"/>
  <c r="O59" i="21"/>
  <c r="T27" i="21"/>
  <c r="T27" i="33"/>
  <c r="T27" i="28"/>
  <c r="T27" i="32"/>
  <c r="D68" i="21"/>
  <c r="D166" i="28"/>
  <c r="D166" i="32"/>
  <c r="D166" i="33"/>
  <c r="D24" i="32"/>
  <c r="D17" i="12"/>
  <c r="D24" i="21"/>
  <c r="D24" i="28"/>
  <c r="D24" i="33"/>
  <c r="F11" i="33"/>
  <c r="F11" i="32"/>
  <c r="F11" i="21"/>
  <c r="F11" i="28"/>
  <c r="D187" i="32"/>
  <c r="D74" i="21"/>
  <c r="D187" i="28"/>
  <c r="D187" i="33"/>
  <c r="C12" i="33"/>
  <c r="D7" i="9"/>
  <c r="C12" i="21"/>
  <c r="C5" i="12"/>
  <c r="C12" i="32"/>
  <c r="C12" i="28"/>
  <c r="E55" i="33"/>
  <c r="E55" i="32"/>
  <c r="E55" i="28"/>
  <c r="E39" i="21"/>
  <c r="I26" i="28"/>
  <c r="I26" i="21"/>
  <c r="I26" i="33"/>
  <c r="I26" i="32"/>
  <c r="L20" i="9"/>
  <c r="E167" i="32"/>
  <c r="E167" i="28"/>
  <c r="E167" i="33"/>
  <c r="E69" i="21"/>
  <c r="F17" i="33"/>
  <c r="F17" i="28"/>
  <c r="F17" i="32"/>
  <c r="F17" i="21"/>
  <c r="W8" i="33"/>
  <c r="W8" i="32"/>
  <c r="W8" i="21"/>
  <c r="W8" i="28"/>
  <c r="F57" i="32"/>
  <c r="F57" i="28"/>
  <c r="F57" i="33"/>
  <c r="F35" i="21"/>
  <c r="I182" i="28"/>
  <c r="I72" i="21"/>
  <c r="I182" i="33"/>
  <c r="I182" i="32"/>
  <c r="C26" i="21"/>
  <c r="C26" i="28"/>
  <c r="D20" i="9"/>
  <c r="C26" i="32"/>
  <c r="C26" i="33"/>
  <c r="C19" i="12"/>
  <c r="I13" i="32"/>
  <c r="I13" i="28"/>
  <c r="I13" i="33"/>
  <c r="I13" i="21"/>
  <c r="L8" i="9"/>
  <c r="C59" i="33"/>
  <c r="C59" i="32"/>
  <c r="C42" i="21"/>
  <c r="C59" i="28"/>
  <c r="D31" i="9"/>
  <c r="E117" i="32"/>
  <c r="E117" i="33"/>
  <c r="E54" i="21"/>
  <c r="E117" i="28"/>
  <c r="O182" i="33"/>
  <c r="O72" i="21"/>
  <c r="O182" i="32"/>
  <c r="O182" i="28"/>
  <c r="I85" i="28"/>
  <c r="I85" i="33"/>
  <c r="I47" i="21"/>
  <c r="I85" i="32"/>
  <c r="L35" i="9"/>
  <c r="D160" i="28"/>
  <c r="D160" i="33"/>
  <c r="D65" i="21"/>
  <c r="D160" i="32"/>
  <c r="I122" i="32"/>
  <c r="I122" i="28"/>
  <c r="I122" i="33"/>
  <c r="I56" i="21"/>
  <c r="I70" i="21"/>
  <c r="I179" i="33"/>
  <c r="I179" i="28"/>
  <c r="I179" i="32"/>
  <c r="C23" i="32"/>
  <c r="C23" i="21"/>
  <c r="C23" i="28"/>
  <c r="D17" i="9"/>
  <c r="C23" i="33"/>
  <c r="C16" i="12"/>
  <c r="E14" i="33"/>
  <c r="E14" i="32"/>
  <c r="E14" i="28"/>
  <c r="E14" i="21"/>
  <c r="D5" i="9"/>
  <c r="C10" i="32"/>
  <c r="C10" i="28"/>
  <c r="C10" i="21"/>
  <c r="C10" i="33"/>
  <c r="R14" i="32"/>
  <c r="R14" i="21"/>
  <c r="R14" i="28"/>
  <c r="K128" i="39"/>
  <c r="P142" i="38"/>
  <c r="H128" i="39" s="1"/>
  <c r="I181" i="39"/>
  <c r="P175" i="38"/>
  <c r="H181" i="39" s="1"/>
  <c r="L77" i="39"/>
  <c r="P103" i="38"/>
  <c r="H77" i="39" s="1"/>
  <c r="I52" i="32"/>
  <c r="I38" i="21"/>
  <c r="L29" i="9"/>
  <c r="I52" i="28"/>
  <c r="I52" i="33"/>
  <c r="K145" i="33"/>
  <c r="K145" i="28"/>
  <c r="P41" i="9"/>
  <c r="K64" i="21"/>
  <c r="K145" i="32"/>
  <c r="P149" i="38"/>
  <c r="T137" i="39" s="1"/>
  <c r="U137" i="39"/>
  <c r="P115" i="33"/>
  <c r="P115" i="28"/>
  <c r="P53" i="21"/>
  <c r="P115" i="32"/>
  <c r="D183" i="28"/>
  <c r="D183" i="32"/>
  <c r="O20" i="21"/>
  <c r="C16" i="28"/>
  <c r="C16" i="33"/>
  <c r="C16" i="32"/>
  <c r="D11" i="9"/>
  <c r="C24" i="12"/>
  <c r="C16" i="21"/>
  <c r="D79" i="33"/>
  <c r="D79" i="28"/>
  <c r="D46" i="21"/>
  <c r="D79" i="32"/>
  <c r="D91" i="28"/>
  <c r="D91" i="33"/>
  <c r="D48" i="21"/>
  <c r="D91" i="32"/>
  <c r="I12" i="21"/>
  <c r="E5" i="12"/>
  <c r="I12" i="28"/>
  <c r="I12" i="32"/>
  <c r="L7" i="9"/>
  <c r="I12" i="33"/>
  <c r="K12" i="33"/>
  <c r="K12" i="21"/>
  <c r="F5" i="12"/>
  <c r="K12" i="32"/>
  <c r="P7" i="9"/>
  <c r="K12" i="28"/>
  <c r="F187" i="33"/>
  <c r="F187" i="32"/>
  <c r="F187" i="28"/>
  <c r="F74" i="21"/>
  <c r="D48" i="28"/>
  <c r="D48" i="33"/>
  <c r="D48" i="32"/>
  <c r="D36" i="21"/>
  <c r="E125" i="33"/>
  <c r="E125" i="32"/>
  <c r="E58" i="21"/>
  <c r="E125" i="28"/>
  <c r="E127" i="32"/>
  <c r="E127" i="28"/>
  <c r="E127" i="33"/>
  <c r="E59" i="21"/>
  <c r="C198" i="32"/>
  <c r="C198" i="28"/>
  <c r="C198" i="33"/>
  <c r="C75" i="21"/>
  <c r="F35" i="33"/>
  <c r="F33" i="21"/>
  <c r="F35" i="32"/>
  <c r="F35" i="28"/>
  <c r="H24" i="28"/>
  <c r="H24" i="33"/>
  <c r="H24" i="32"/>
  <c r="H24" i="21"/>
  <c r="L28" i="33"/>
  <c r="L28" i="28"/>
  <c r="L28" i="21"/>
  <c r="L28" i="32"/>
  <c r="L15" i="28"/>
  <c r="L15" i="21"/>
  <c r="L15" i="33"/>
  <c r="L15" i="32"/>
  <c r="I133" i="33"/>
  <c r="I60" i="21"/>
  <c r="I133" i="28"/>
  <c r="I133" i="32"/>
  <c r="C21" i="28"/>
  <c r="C21" i="33"/>
  <c r="C14" i="12"/>
  <c r="D15" i="9"/>
  <c r="C21" i="32"/>
  <c r="C21" i="21"/>
  <c r="H29" i="32"/>
  <c r="H29" i="21"/>
  <c r="H29" i="28"/>
  <c r="H29" i="33"/>
  <c r="L29" i="28"/>
  <c r="L29" i="21"/>
  <c r="L29" i="33"/>
  <c r="L29" i="32"/>
  <c r="O17" i="21"/>
  <c r="O17" i="33"/>
  <c r="O17" i="32"/>
  <c r="O17" i="28"/>
  <c r="C117" i="28"/>
  <c r="C117" i="32"/>
  <c r="C54" i="21"/>
  <c r="C117" i="33"/>
  <c r="C25" i="33"/>
  <c r="C25" i="21"/>
  <c r="C18" i="12"/>
  <c r="C25" i="32"/>
  <c r="C25" i="28"/>
  <c r="D19" i="9"/>
  <c r="E76" i="32"/>
  <c r="E76" i="33"/>
  <c r="E76" i="28"/>
  <c r="E44" i="21"/>
  <c r="F167" i="33"/>
  <c r="F167" i="32"/>
  <c r="F69" i="21"/>
  <c r="F167" i="28"/>
  <c r="L25" i="33"/>
  <c r="L25" i="28"/>
  <c r="L25" i="32"/>
  <c r="L25" i="21"/>
  <c r="D17" i="33"/>
  <c r="D17" i="21"/>
  <c r="D8" i="12"/>
  <c r="D17" i="32"/>
  <c r="D17" i="28"/>
  <c r="H57" i="28"/>
  <c r="H57" i="33"/>
  <c r="H57" i="32"/>
  <c r="H35" i="21"/>
  <c r="I55" i="32"/>
  <c r="I39" i="21"/>
  <c r="I55" i="28"/>
  <c r="I55" i="33"/>
  <c r="L30" i="9"/>
  <c r="I164" i="33"/>
  <c r="I164" i="32"/>
  <c r="I67" i="21"/>
  <c r="I164" i="28"/>
  <c r="D121" i="28"/>
  <c r="D55" i="21"/>
  <c r="D121" i="33"/>
  <c r="D121" i="32"/>
  <c r="C182" i="32"/>
  <c r="C182" i="28"/>
  <c r="C182" i="33"/>
  <c r="C72" i="21"/>
  <c r="L26" i="33"/>
  <c r="L26" i="21"/>
  <c r="L26" i="28"/>
  <c r="L26" i="32"/>
  <c r="C13" i="32"/>
  <c r="D8" i="9"/>
  <c r="C6" i="12"/>
  <c r="C13" i="33"/>
  <c r="C13" i="21"/>
  <c r="C13" i="28"/>
  <c r="P101" i="38"/>
  <c r="T60" i="39" s="1"/>
  <c r="W60" i="39"/>
  <c r="X107" i="32"/>
  <c r="X51" i="21"/>
  <c r="X107" i="28"/>
  <c r="Q179" i="32"/>
  <c r="Q179" i="28"/>
  <c r="Q70" i="21"/>
  <c r="Q179" i="33"/>
  <c r="W18" i="39"/>
  <c r="P38" i="38"/>
  <c r="T18" i="39" s="1"/>
  <c r="C20" i="39"/>
  <c r="J40" i="38"/>
  <c r="E20" i="39" s="1"/>
  <c r="P19" i="38"/>
  <c r="H12" i="39" s="1"/>
  <c r="I12" i="39"/>
  <c r="F14" i="33"/>
  <c r="F14" i="32"/>
  <c r="F14" i="28"/>
  <c r="F14" i="21"/>
  <c r="I199" i="32"/>
  <c r="I76" i="21"/>
  <c r="I199" i="28"/>
  <c r="I199" i="33"/>
  <c r="L45" i="9"/>
  <c r="F117" i="32"/>
  <c r="F117" i="33"/>
  <c r="F54" i="21"/>
  <c r="F117" i="28"/>
  <c r="D115" i="28"/>
  <c r="D115" i="33"/>
  <c r="D115" i="32"/>
  <c r="D53" i="21"/>
  <c r="P95" i="38"/>
  <c r="T56" i="39" s="1"/>
  <c r="U56" i="39"/>
  <c r="Q182" i="32"/>
  <c r="Q182" i="33"/>
  <c r="Q72" i="21"/>
  <c r="Q182" i="28"/>
  <c r="D59" i="32"/>
  <c r="D59" i="33"/>
  <c r="D42" i="21"/>
  <c r="D59" i="28"/>
  <c r="C183" i="32"/>
  <c r="C73" i="21"/>
  <c r="C183" i="33"/>
  <c r="C183" i="28"/>
  <c r="C160" i="32"/>
  <c r="C160" i="28"/>
  <c r="C160" i="33"/>
  <c r="C65" i="21"/>
  <c r="E122" i="33"/>
  <c r="E122" i="32"/>
  <c r="E56" i="21"/>
  <c r="E122" i="28"/>
  <c r="C70" i="21"/>
  <c r="C179" i="32"/>
  <c r="C179" i="28"/>
  <c r="C179" i="33"/>
  <c r="I23" i="32"/>
  <c r="L17" i="9"/>
  <c r="I23" i="21"/>
  <c r="I23" i="33"/>
  <c r="I23" i="28"/>
  <c r="D23" i="28"/>
  <c r="D23" i="33"/>
  <c r="D23" i="21"/>
  <c r="D23" i="32"/>
  <c r="F27" i="33"/>
  <c r="F27" i="21"/>
  <c r="F27" i="28"/>
  <c r="F27" i="32"/>
  <c r="D14" i="32"/>
  <c r="D14" i="28"/>
  <c r="D14" i="21"/>
  <c r="D14" i="33"/>
  <c r="D7" i="12"/>
  <c r="H14" i="32"/>
  <c r="H14" i="33"/>
  <c r="H14" i="28"/>
  <c r="H14" i="21"/>
  <c r="I10" i="33"/>
  <c r="I10" i="21"/>
  <c r="I10" i="32"/>
  <c r="L5" i="9"/>
  <c r="I10" i="28"/>
  <c r="P92" i="38"/>
  <c r="T53" i="39" s="1"/>
  <c r="U53" i="39"/>
  <c r="R199" i="32"/>
  <c r="R76" i="21"/>
  <c r="R199" i="28"/>
  <c r="R199" i="33"/>
  <c r="O48" i="28"/>
  <c r="O48" i="33"/>
  <c r="O36" i="21"/>
  <c r="O48" i="32"/>
  <c r="O9" i="21"/>
  <c r="O9" i="33"/>
  <c r="O9" i="32"/>
  <c r="O9" i="28"/>
  <c r="U9" i="32"/>
  <c r="U9" i="21"/>
  <c r="U9" i="28"/>
  <c r="U9" i="33"/>
  <c r="I199" i="39"/>
  <c r="P187" i="38"/>
  <c r="H199" i="39" s="1"/>
  <c r="P73" i="38"/>
  <c r="H34" i="39" s="1"/>
  <c r="I34" i="39"/>
  <c r="K188" i="39"/>
  <c r="P184" i="38"/>
  <c r="H188" i="39" s="1"/>
  <c r="I92" i="39"/>
  <c r="P115" i="38"/>
  <c r="H92" i="39" s="1"/>
  <c r="K32" i="32"/>
  <c r="K31" i="21"/>
  <c r="K32" i="33"/>
  <c r="K32" i="28"/>
  <c r="K56" i="33"/>
  <c r="K56" i="32"/>
  <c r="K40" i="21"/>
  <c r="K56" i="28"/>
  <c r="D9" i="28"/>
  <c r="D9" i="33"/>
  <c r="D9" i="21"/>
  <c r="D3" i="12"/>
  <c r="D9" i="32"/>
  <c r="E52" i="32"/>
  <c r="E52" i="33"/>
  <c r="E38" i="21"/>
  <c r="E52" i="28"/>
  <c r="E145" i="32"/>
  <c r="E145" i="33"/>
  <c r="E64" i="21"/>
  <c r="E145" i="28"/>
  <c r="P74" i="38"/>
  <c r="T34" i="39" s="1"/>
  <c r="U34" i="39"/>
  <c r="O115" i="33"/>
  <c r="O115" i="28"/>
  <c r="O53" i="21"/>
  <c r="O115" i="32"/>
  <c r="P17" i="38"/>
  <c r="T11" i="39" s="1"/>
  <c r="U11" i="39"/>
  <c r="K123" i="28"/>
  <c r="K123" i="33"/>
  <c r="P38" i="9"/>
  <c r="K57" i="21"/>
  <c r="K123" i="32"/>
  <c r="D37" i="28"/>
  <c r="D34" i="21"/>
  <c r="D37" i="32"/>
  <c r="D37" i="33"/>
  <c r="L37" i="28"/>
  <c r="L34" i="21"/>
  <c r="L37" i="33"/>
  <c r="L37" i="32"/>
  <c r="E123" i="32"/>
  <c r="E123" i="28"/>
  <c r="E123" i="33"/>
  <c r="E57" i="21"/>
  <c r="P31" i="38"/>
  <c r="H16" i="39" s="1"/>
  <c r="P187" i="32"/>
  <c r="P74" i="21"/>
  <c r="P187" i="28"/>
  <c r="O123" i="28"/>
  <c r="O123" i="33"/>
  <c r="O57" i="21"/>
  <c r="O123" i="32"/>
  <c r="E49" i="33"/>
  <c r="E37" i="21"/>
  <c r="E49" i="32"/>
  <c r="E49" i="28"/>
  <c r="F22" i="32"/>
  <c r="F22" i="21"/>
  <c r="F22" i="28"/>
  <c r="F22" i="33"/>
  <c r="X166" i="28"/>
  <c r="X166" i="33"/>
  <c r="X166" i="32"/>
  <c r="X68" i="21"/>
  <c r="O91" i="33"/>
  <c r="O91" i="32"/>
  <c r="O48" i="21"/>
  <c r="O91" i="28"/>
  <c r="C78" i="33"/>
  <c r="C78" i="32"/>
  <c r="C78" i="28"/>
  <c r="D33" i="9"/>
  <c r="C45" i="21"/>
  <c r="F78" i="33"/>
  <c r="F78" i="32"/>
  <c r="F78" i="28"/>
  <c r="F45" i="21"/>
  <c r="C100" i="32"/>
  <c r="C100" i="28"/>
  <c r="C100" i="33"/>
  <c r="C49" i="21"/>
  <c r="D36" i="9"/>
  <c r="H20" i="33"/>
  <c r="H20" i="28"/>
  <c r="H20" i="32"/>
  <c r="H20" i="21"/>
  <c r="F20" i="32"/>
  <c r="F20" i="33"/>
  <c r="F20" i="21"/>
  <c r="F20" i="28"/>
  <c r="C18" i="28"/>
  <c r="C18" i="21"/>
  <c r="C18" i="33"/>
  <c r="D13" i="9"/>
  <c r="C18" i="32"/>
  <c r="C9" i="12"/>
  <c r="X25" i="32"/>
  <c r="X25" i="33"/>
  <c r="X25" i="28"/>
  <c r="X25" i="21"/>
  <c r="U133" i="32"/>
  <c r="U133" i="33"/>
  <c r="U133" i="28"/>
  <c r="U60" i="21"/>
  <c r="W35" i="28"/>
  <c r="E34" i="33"/>
  <c r="E34" i="28"/>
  <c r="E32" i="21"/>
  <c r="E34" i="32"/>
  <c r="P79" i="32"/>
  <c r="P79" i="33"/>
  <c r="P79" i="28"/>
  <c r="P46" i="21"/>
  <c r="U80" i="39"/>
  <c r="P110" i="38"/>
  <c r="T80" i="39" s="1"/>
  <c r="X100" i="32"/>
  <c r="X100" i="28"/>
  <c r="X100" i="33"/>
  <c r="X49" i="21"/>
  <c r="P122" i="31"/>
  <c r="X133" i="28"/>
  <c r="X133" i="33"/>
  <c r="X60" i="21"/>
  <c r="X133" i="32"/>
  <c r="W20" i="33"/>
  <c r="W20" i="32"/>
  <c r="W20" i="21"/>
  <c r="W20" i="28"/>
  <c r="C49" i="33"/>
  <c r="D28" i="9"/>
  <c r="C49" i="32"/>
  <c r="C49" i="28"/>
  <c r="C37" i="21"/>
  <c r="K49" i="28"/>
  <c r="K49" i="33"/>
  <c r="K49" i="32"/>
  <c r="K37" i="21"/>
  <c r="P28" i="9"/>
  <c r="O187" i="33"/>
  <c r="O74" i="21"/>
  <c r="O187" i="32"/>
  <c r="O187" i="28"/>
  <c r="W188" i="39"/>
  <c r="P185" i="38"/>
  <c r="T188" i="39" s="1"/>
  <c r="P127" i="33"/>
  <c r="P59" i="21"/>
  <c r="P127" i="28"/>
  <c r="P127" i="32"/>
  <c r="X127" i="33"/>
  <c r="X127" i="32"/>
  <c r="X127" i="28"/>
  <c r="X59" i="21"/>
  <c r="T11" i="32"/>
  <c r="T11" i="21"/>
  <c r="T11" i="33"/>
  <c r="T52" i="28"/>
  <c r="T38" i="21"/>
  <c r="T52" i="33"/>
  <c r="T52" i="32"/>
  <c r="T48" i="32"/>
  <c r="T48" i="28"/>
  <c r="T48" i="33"/>
  <c r="T36" i="21"/>
  <c r="T28" i="33"/>
  <c r="T28" i="32"/>
  <c r="T28" i="21"/>
  <c r="T28" i="28"/>
  <c r="T10" i="28"/>
  <c r="T10" i="21"/>
  <c r="T10" i="33"/>
  <c r="T10" i="32"/>
  <c r="Q17" i="33"/>
  <c r="Q17" i="32"/>
  <c r="Q17" i="21"/>
  <c r="Q17" i="28"/>
  <c r="T127" i="33"/>
  <c r="T127" i="28"/>
  <c r="T127" i="32"/>
  <c r="T59" i="21"/>
  <c r="T56" i="33"/>
  <c r="T40" i="21"/>
  <c r="T56" i="28"/>
  <c r="T56" i="32"/>
  <c r="T179" i="32"/>
  <c r="T70" i="21"/>
  <c r="T179" i="28"/>
  <c r="T179" i="33"/>
  <c r="T34" i="33"/>
  <c r="T32" i="21"/>
  <c r="T34" i="32"/>
  <c r="T34" i="28"/>
  <c r="T12" i="32"/>
  <c r="T12" i="28"/>
  <c r="T12" i="33"/>
  <c r="T12" i="21"/>
  <c r="T198" i="33"/>
  <c r="T198" i="28"/>
  <c r="T75" i="21"/>
  <c r="T198" i="32"/>
  <c r="T35" i="33"/>
  <c r="T33" i="21"/>
  <c r="E183" i="28"/>
  <c r="E183" i="33"/>
  <c r="E73" i="21"/>
  <c r="E183" i="32"/>
  <c r="H74" i="21" l="1"/>
  <c r="H187" i="33"/>
  <c r="H187" i="32"/>
  <c r="H187" i="28"/>
  <c r="F11" i="12"/>
  <c r="K8" i="21"/>
  <c r="K8" i="33"/>
  <c r="P3" i="9"/>
  <c r="P1" i="9" s="1"/>
  <c r="T182" i="28"/>
  <c r="T72" i="21"/>
  <c r="T182" i="33"/>
  <c r="T35" i="32"/>
  <c r="T45" i="21"/>
  <c r="T78" i="33"/>
  <c r="T78" i="28"/>
  <c r="T78" i="32"/>
  <c r="I205" i="32"/>
  <c r="L1" i="9"/>
  <c r="K205" i="32"/>
  <c r="D1" i="9"/>
  <c r="F204" i="33"/>
  <c r="H123" i="32"/>
  <c r="H123" i="33"/>
  <c r="H57" i="21"/>
  <c r="H123" i="28"/>
  <c r="H37" i="32"/>
  <c r="H37" i="33"/>
  <c r="H34" i="21"/>
  <c r="H37" i="28"/>
  <c r="T53" i="21"/>
  <c r="T115" i="28"/>
  <c r="T115" i="32"/>
  <c r="T115" i="33"/>
  <c r="H35" i="28"/>
  <c r="H33" i="21"/>
  <c r="H35" i="33"/>
  <c r="H35" i="32"/>
  <c r="H49" i="28"/>
  <c r="H49" i="32"/>
  <c r="H37" i="21"/>
  <c r="H49" i="33"/>
  <c r="H121" i="28"/>
  <c r="H121" i="32"/>
  <c r="H121" i="33"/>
  <c r="H55" i="21"/>
  <c r="E17" i="28"/>
  <c r="E17" i="21"/>
  <c r="E17" i="33"/>
  <c r="E17" i="32"/>
  <c r="H28" i="32"/>
  <c r="H28" i="33"/>
  <c r="H28" i="28"/>
  <c r="H28" i="21"/>
  <c r="H56" i="33"/>
  <c r="H40" i="21"/>
  <c r="H56" i="28"/>
  <c r="H56" i="32"/>
  <c r="H16" i="33"/>
  <c r="H16" i="21"/>
  <c r="H16" i="28"/>
  <c r="H16" i="32"/>
  <c r="T107" i="33"/>
  <c r="T51" i="21"/>
  <c r="T107" i="32"/>
  <c r="T107" i="28"/>
  <c r="H59" i="33"/>
  <c r="H59" i="32"/>
  <c r="H42" i="21"/>
  <c r="H59" i="28"/>
  <c r="T55" i="32"/>
  <c r="T39" i="21"/>
  <c r="T55" i="28"/>
  <c r="T55" i="33"/>
  <c r="H127" i="32"/>
  <c r="H127" i="33"/>
  <c r="H127" i="28"/>
  <c r="H59" i="21"/>
  <c r="T100" i="32"/>
  <c r="T100" i="28"/>
  <c r="T49" i="21"/>
  <c r="T100" i="33"/>
  <c r="H18" i="28"/>
  <c r="H18" i="33"/>
  <c r="H18" i="21"/>
  <c r="H18" i="32"/>
  <c r="H160" i="28"/>
  <c r="H160" i="33"/>
  <c r="H65" i="21"/>
  <c r="H160" i="32"/>
  <c r="H182" i="32"/>
  <c r="H72" i="21"/>
  <c r="H182" i="33"/>
  <c r="H182" i="28"/>
  <c r="T133" i="33"/>
  <c r="T133" i="28"/>
  <c r="T60" i="21"/>
  <c r="T133" i="32"/>
  <c r="H164" i="33"/>
  <c r="H164" i="32"/>
  <c r="H164" i="28"/>
  <c r="H67" i="21"/>
  <c r="H55" i="33"/>
  <c r="H39" i="21"/>
  <c r="H55" i="28"/>
  <c r="H55" i="32"/>
  <c r="H12" i="32"/>
  <c r="H12" i="28"/>
  <c r="H12" i="21"/>
  <c r="H12" i="33"/>
  <c r="H179" i="33"/>
  <c r="H70" i="21"/>
  <c r="H179" i="32"/>
  <c r="H179" i="28"/>
  <c r="F204" i="28"/>
  <c r="T79" i="33"/>
  <c r="T79" i="32"/>
  <c r="T46" i="21"/>
  <c r="T79" i="28"/>
  <c r="H78" i="32"/>
  <c r="H45" i="21"/>
  <c r="H78" i="33"/>
  <c r="H78" i="28"/>
  <c r="T166" i="28"/>
  <c r="T166" i="32"/>
  <c r="T166" i="33"/>
  <c r="T68" i="21"/>
  <c r="H198" i="33"/>
  <c r="H198" i="28"/>
  <c r="H75" i="21"/>
  <c r="H198" i="32"/>
  <c r="H136" i="28"/>
  <c r="H136" i="32"/>
  <c r="H61" i="21"/>
  <c r="H136" i="33"/>
  <c r="H34" i="33"/>
  <c r="H32" i="21"/>
  <c r="H34" i="28"/>
  <c r="H34" i="32"/>
  <c r="T76" i="32"/>
  <c r="T76" i="33"/>
  <c r="T44" i="21"/>
  <c r="T76" i="28"/>
  <c r="H53" i="21"/>
  <c r="H115" i="28"/>
  <c r="H115" i="32"/>
  <c r="H115" i="33"/>
  <c r="H48" i="33"/>
  <c r="H48" i="32"/>
  <c r="H48" i="28"/>
  <c r="H36" i="21"/>
  <c r="H166" i="32"/>
  <c r="H68" i="21"/>
  <c r="H166" i="28"/>
  <c r="H166" i="33"/>
  <c r="H60" i="21"/>
  <c r="H133" i="33"/>
  <c r="H133" i="32"/>
  <c r="H133" i="28"/>
  <c r="D205" i="32"/>
  <c r="H85" i="28"/>
  <c r="H47" i="21"/>
  <c r="H85" i="32"/>
  <c r="H85" i="33"/>
  <c r="H100" i="28"/>
  <c r="H49" i="21"/>
  <c r="H100" i="33"/>
  <c r="H100" i="32"/>
  <c r="T125" i="33"/>
  <c r="T58" i="21"/>
  <c r="T125" i="32"/>
  <c r="T125" i="28"/>
  <c r="H11" i="21"/>
  <c r="H11" i="33"/>
  <c r="H11" i="32"/>
  <c r="H11" i="28"/>
  <c r="H125" i="33"/>
  <c r="H58" i="21"/>
  <c r="H125" i="28"/>
  <c r="H125" i="32"/>
  <c r="H107" i="32"/>
  <c r="H107" i="28"/>
  <c r="H51" i="21"/>
  <c r="H107" i="33"/>
  <c r="T9" i="33"/>
  <c r="T9" i="28"/>
  <c r="T9" i="32"/>
  <c r="T9" i="21"/>
  <c r="H10" i="28"/>
  <c r="H10" i="32"/>
  <c r="H10" i="33"/>
  <c r="H10" i="21"/>
  <c r="H52" i="28"/>
  <c r="H52" i="33"/>
  <c r="H38" i="21"/>
  <c r="H52" i="32"/>
  <c r="H122" i="28"/>
  <c r="H122" i="32"/>
  <c r="H122" i="33"/>
  <c r="H56" i="21"/>
  <c r="F205" i="32"/>
  <c r="F204" i="32"/>
  <c r="T74" i="21"/>
  <c r="T187" i="32"/>
  <c r="T187" i="28"/>
  <c r="T187" i="33"/>
  <c r="T123" i="32"/>
  <c r="T123" i="28"/>
  <c r="T123" i="33"/>
  <c r="T57" i="21"/>
  <c r="H9" i="33"/>
  <c r="H9" i="32"/>
  <c r="H9" i="28"/>
  <c r="H9" i="21"/>
  <c r="H91" i="32"/>
  <c r="H91" i="28"/>
  <c r="H48" i="21"/>
  <c r="H91" i="33"/>
  <c r="L205" i="32"/>
  <c r="E20" i="32"/>
  <c r="E20" i="28"/>
  <c r="E20" i="33"/>
  <c r="E20" i="21"/>
  <c r="H22" i="28"/>
  <c r="H22" i="21"/>
  <c r="H22" i="33"/>
  <c r="H22" i="32"/>
  <c r="H76" i="33"/>
  <c r="H76" i="32"/>
  <c r="H76" i="28"/>
  <c r="H44" i="21"/>
  <c r="H32" i="33"/>
  <c r="H32" i="28"/>
  <c r="H32" i="32"/>
  <c r="H31" i="21"/>
  <c r="B1" i="9" l="1"/>
  <c r="H205" i="32"/>
  <c r="H205" i="39" l="1"/>
  <c r="L214" i="39" l="1"/>
  <c r="I214" i="39" l="1"/>
  <c r="D214" i="39" l="1"/>
  <c r="F205" i="39"/>
  <c r="F214" i="39"/>
  <c r="C214" i="39" l="1"/>
  <c r="H214" i="39"/>
  <c r="K214" i="39"/>
  <c r="E214" i="39"/>
  <c r="C166" i="33" l="1"/>
  <c r="O166" i="32"/>
  <c r="O166" i="28" l="1"/>
  <c r="O68" i="21"/>
  <c r="O166" i="33"/>
  <c r="E166" i="28"/>
  <c r="E68" i="21"/>
  <c r="E166" i="33"/>
  <c r="E166" i="32"/>
  <c r="E205" i="32" s="1"/>
  <c r="C68" i="21"/>
  <c r="C166" i="28"/>
  <c r="D42" i="9"/>
  <c r="C166" i="32"/>
  <c r="C205" i="32" s="1"/>
  <c r="Q68" i="21" l="1"/>
  <c r="Q166" i="33"/>
  <c r="Q166" i="32"/>
  <c r="Q16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tc={0781806D-CC83-47BA-B9FF-6AF38A3C68F0}</author>
  </authors>
  <commentList>
    <comment ref="Q102" authorId="0" shapeId="0" xr:uid="{0781806D-CC83-47BA-B9FF-6AF38A3C68F0}">
      <text>
        <t>[Threaded comment]
Your version of Excel allows you to read this threaded comment; however, any edits to it will get removed if the file is opened in a newer version of Excel. Learn more: https://go.microsoft.com/fwlink/?linkid=870924
Comment:
    The input on web for item 1.2 (26 bn) is mislabeled. There is only one 26 bn for guarantees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tc={6F0C6159-6FB5-4FA6-9329-453CC82069F7}</author>
  </authors>
  <commentList>
    <comment ref="G99" authorId="0" shapeId="0" xr:uid="{6F0C6159-6FB5-4FA6-9329-453CC82069F7}">
      <text>
        <t>[Threaded comment]
Your version of Excel allows you to read this threaded comment; however, any edits to it will get removed if the file is opened in a newer version of Excel. Learn more: https://go.microsoft.com/fwlink/?linkid=870924
Comment:
    Also from the originally adopted 19bn, a 2bn lek was not used (for humanitarian relief) and an additional 1bn was kept as reserve fund (hence not appropriated). With those subtractions, the figures match. from Linda</t>
      </text>
    </comment>
  </commentList>
</comments>
</file>

<file path=xl/sharedStrings.xml><?xml version="1.0" encoding="utf-8"?>
<sst xmlns="http://schemas.openxmlformats.org/spreadsheetml/2006/main" count="16867" uniqueCount="1781">
  <si>
    <t>Australia</t>
  </si>
  <si>
    <t>Canada</t>
  </si>
  <si>
    <t>France</t>
  </si>
  <si>
    <t>Germany</t>
  </si>
  <si>
    <t>Italy</t>
  </si>
  <si>
    <t>Japan</t>
  </si>
  <si>
    <t>Korea</t>
  </si>
  <si>
    <t>United Kingdom</t>
  </si>
  <si>
    <t>United States</t>
  </si>
  <si>
    <t>Argentina</t>
  </si>
  <si>
    <t>Brazil</t>
  </si>
  <si>
    <t>China</t>
  </si>
  <si>
    <t>India</t>
  </si>
  <si>
    <t>Indonesia</t>
  </si>
  <si>
    <t>Mexico</t>
  </si>
  <si>
    <t>Russia</t>
  </si>
  <si>
    <t>Saudi Arabia</t>
  </si>
  <si>
    <t>South Africa</t>
  </si>
  <si>
    <t>Turkey</t>
  </si>
  <si>
    <t>Denmark</t>
  </si>
  <si>
    <t>Finland</t>
  </si>
  <si>
    <t>Sweden</t>
  </si>
  <si>
    <t>Poland</t>
  </si>
  <si>
    <t>Egypt</t>
  </si>
  <si>
    <t>Malaysia</t>
  </si>
  <si>
    <t>Mongolia</t>
  </si>
  <si>
    <t>Bahrain</t>
  </si>
  <si>
    <t>Bulgaria</t>
  </si>
  <si>
    <t>Iran</t>
  </si>
  <si>
    <t>Nigeria</t>
  </si>
  <si>
    <t>Tunisia</t>
  </si>
  <si>
    <t>Singapore</t>
  </si>
  <si>
    <t>Spain</t>
  </si>
  <si>
    <t>Vietnam</t>
  </si>
  <si>
    <t>Colombia</t>
  </si>
  <si>
    <t>Kazakhstan</t>
  </si>
  <si>
    <t>Norway</t>
  </si>
  <si>
    <t>Bangladesh</t>
  </si>
  <si>
    <t>Honduras</t>
  </si>
  <si>
    <t>Hong Kong SAR</t>
  </si>
  <si>
    <t>Hungary</t>
  </si>
  <si>
    <t>Albania</t>
  </si>
  <si>
    <t>Chile</t>
  </si>
  <si>
    <t>Links</t>
  </si>
  <si>
    <t>https://virksomhedsguiden.dk/erhvervsfremme/content/temaer/coronavirus_og_din_virksomhed/artikler/garantiordning-for-nye-laan/3b45ceac-2e72-477c-9fe1-e1d119c23b49/</t>
  </si>
  <si>
    <t>https://virksomhedsguiden.dk/erhvervsfremme/content/temaer/coronavirus_og_din_virksomhed/artikler/udvidet-ret-til-arbejdsgiverrefusionsygedagpenge-til-selvstaendige/2512f642-74bb-478e-9ffa-af2f6aeb321f/</t>
  </si>
  <si>
    <t>https://valtioneuvosto.fi/artikkeli/-/asset_publisher/10616/hallitus-antoi-eduskunnalle-lisatalousarvioesityksen-koronaviruksen-vuoksi</t>
  </si>
  <si>
    <t>https://www.rijksoverheid.nl/actueel/nieuws/2020/03/17/coronavirus-kabinet-neemt-pakket-nieuwe-maatregelen-voor-banen-en-economie</t>
  </si>
  <si>
    <t>https://www.regjeringen.no/en/aktuelt/economic-measures-in-norway-in-response-to-covid-19/id2694274/</t>
  </si>
  <si>
    <t>https://www.lamoncloa.gob.es/consejodeministros/resumenes/Paginas/2020/170320-pg-consejo.aspx</t>
  </si>
  <si>
    <t>https://prensa.presidencia.cl/comunicado.aspx?id=148684</t>
  </si>
  <si>
    <t>https://wam.ae/en/details/1395302832332</t>
  </si>
  <si>
    <t>https://gulfnews.com/uae/revealed-15-point-economic-stimulus-package-in-abu-dhabi-1.1584340605165</t>
  </si>
  <si>
    <t>L3,800 mn</t>
  </si>
  <si>
    <t>Country</t>
  </si>
  <si>
    <t>Netherlands</t>
  </si>
  <si>
    <t>United Arab Emirates</t>
  </si>
  <si>
    <t>https://pib.gov.in/PressReleseDetail.aspx?PRID=1607911</t>
  </si>
  <si>
    <t>http://www5.diputados.gob.mx/index.php/esl/Comunicacion/Boletines/2020/Marzo/18/3509-Aprueban-crear-el-Fondo-para-la-Prevencion-y-Atencion-de-Emergencias</t>
  </si>
  <si>
    <t>https://www.mof.gov.sa/en/MediaCenter/news/Pages/News_20032020.aspx</t>
  </si>
  <si>
    <t>Other measures</t>
  </si>
  <si>
    <t>https://treasury.gov.au/coronavirus</t>
  </si>
  <si>
    <t>Parliament approved an advance authorization of A$40 billion for unforeseen events.</t>
  </si>
  <si>
    <t>https://www.canada.ca/en/public-health/services/diseases/coronavirus-disease-covid-19.html</t>
  </si>
  <si>
    <t>https://www.economie.gouv.fr/coronavirus-soutien-entreprises#</t>
  </si>
  <si>
    <t>The government provides options for deferring tax payments and reducing prepayments; while tax penalties will not be levied until the end of this year.</t>
  </si>
  <si>
    <t>http://www.mef.gov.it/en/inevidenza/Protect-health-support-the-economy-preserve-employment-levels-and-incomes-00001/</t>
  </si>
  <si>
    <t>https://www.bundesregierung.de/breg-de/themen/coronavirus</t>
  </si>
  <si>
    <t>Japan has made a contribution of SDR14 million (US$19 million) to the IMF’s Catastrophe Containment and Relief Trust. The deadline for tax return filing and payment of personal income tax, gift tax, and consumption tax (for the self-employed) was extended from mid-March to mid-April; tax payments for people and businesses negatively impacted by the COVID-19 outbreak are deferred. In addition, the ¥26 trillion (about 4.8 percent of GDP) December 2019 stimulus package is being used to offset the adverse impact of COVID-19 on the economy as well as counter the economic slowdown.</t>
  </si>
  <si>
    <t>https://english.moef.go.kr/pc/selectTbPressCenterDtl.do?boardCd=N0001&amp;seq=4860</t>
  </si>
  <si>
    <t>Tax payment deferral covering a broad range of taxes for small businesses and the self-employed in medical, tourism, performance, hospitality, and other affected sectors. Social security contribution payment deferral for households</t>
  </si>
  <si>
    <t>https://www.gov.uk/government/publications/guidance-to-employers-and-businesses-about-covid-19/covid-19-support-for-businesses</t>
  </si>
  <si>
    <t xml:space="preserve">Deferral of income tax for the self employed and VAT payments; property tax (business rate) holiday for firms in most affected sectors, Time to Pay arrangements  (tax debt restructuring) for businesses and individuals. To support the international response, the government has made available £150 million to the IMF’s Catastrophe Containment and Relief Trust. </t>
  </si>
  <si>
    <t xml:space="preserve">IRS extended income tax filing deadline by 90 days; Delay of employers' payroll taxes to 2021 and 2022 </t>
  </si>
  <si>
    <t>The European Commission also activated the general escape clause in the EU fiscal rules, which suspends the fiscal adjustment requirements for countries not at their medium-term objective and allow countries to run deficits in excess of 3 percent of GDP. Credit holidays to existing debtors that are negatively affected will be provided.</t>
  </si>
  <si>
    <t>Payment of employers’ contributions to the FGTS and small business taxes will be postponed by 3 months.</t>
  </si>
  <si>
    <t>Road tolls were exempted; some service fees charged by airports and railways were cut; and the price of electricity was cut by 5% with an estimated cost reduction of 60 bn RMB
Railway logistic fee lowered by 50% until Jun 30 with an estimated cost of RMB 350 million.
From Mar 1 to Jun 30, the port construction fee will be exempted and fees such as ‘harbor dues on cargo’ will be cut by 20%.</t>
  </si>
  <si>
    <t>At the state-level, several state governments have announced support, including deferral of tax payments or tax holidays.</t>
  </si>
  <si>
    <t>Deferment of the payment of corporate taxes until June 30 (about 0.5 percent of 2019 GDP)</t>
  </si>
  <si>
    <t xml:space="preserve">The Polish Development Fund Group (which includes the main state-owned development bank BGK) will provide financing and guarantees for firms (68 billion). </t>
  </si>
  <si>
    <t>0.33 TND billion</t>
  </si>
  <si>
    <t xml:space="preserve">Establishing a financing line for SMEs; some extra-budgetary funds on public donation to the health sector, investment fund to finance private companies to preserve jobs, and a bridging fund for repurchase of shares in investment funds. </t>
  </si>
  <si>
    <t>Allow the State to guarantee new credits for management, operation and maintenance provided by the banking system until December 31, 2020 reimbursable over seven years, including two years of grace in sectors such as tourism, transport, culture, etc.</t>
  </si>
  <si>
    <t>Postponement of CIT payments, other taxes and social contributions until end-May.</t>
  </si>
  <si>
    <t>n.a.</t>
  </si>
  <si>
    <t>The Abu Dhabi government announced provision of loans to SMEs. State-owned enterprises and banks support the private sector through loan restructuring, lowering lease payments (by real estate companies), halting evictions etc.</t>
  </si>
  <si>
    <t>TK 2.5bn</t>
  </si>
  <si>
    <t>51.45 bn</t>
  </si>
  <si>
    <t>0.984 billion</t>
  </si>
  <si>
    <t>1800 billion</t>
  </si>
  <si>
    <t xml:space="preserve">Measures include 30 trillion VND tax and land rental payment deferrals (for 5 months) to support affected entities; affected firms are allowed to defer their contribution (due Mar-Jun) to the pension fund with no interest penalty for late payment; </t>
  </si>
  <si>
    <t>Madagascar</t>
  </si>
  <si>
    <t>Mauritius</t>
  </si>
  <si>
    <t>Senegal</t>
  </si>
  <si>
    <t>Côte d'Ivoire</t>
  </si>
  <si>
    <t>% of GDP</t>
  </si>
  <si>
    <t xml:space="preserve">Part of the increased spending will finance additional health care needs. </t>
  </si>
  <si>
    <t xml:space="preserve">Lk11bn (0.6 percent of GDP) Government has offered a sovereign guarantee for large businesses to tap overdraft or credit lines in the banking sector to pay worker salaries (Details of the scheme have yet to be finalized). </t>
  </si>
  <si>
    <r>
      <rPr>
        <b/>
        <sz val="10"/>
        <color theme="1"/>
        <rFont val="Arial"/>
        <family val="2"/>
      </rPr>
      <t>Spending measures</t>
    </r>
    <r>
      <rPr>
        <sz val="10"/>
        <color theme="1"/>
        <rFont val="Arial"/>
        <family val="2"/>
      </rPr>
      <t xml:space="preserve">: 
</t>
    </r>
    <r>
      <rPr>
        <sz val="10"/>
        <color theme="1"/>
        <rFont val="Symbol"/>
        <family val="1"/>
        <charset val="2"/>
      </rPr>
      <t>·</t>
    </r>
    <r>
      <rPr>
        <sz val="10"/>
        <color theme="1"/>
        <rFont val="Arial"/>
        <family val="2"/>
      </rPr>
      <t xml:space="preserve"> </t>
    </r>
    <r>
      <rPr>
        <sz val="10"/>
        <color theme="1"/>
        <rFont val="Arial"/>
        <family val="2"/>
      </rPr>
      <t xml:space="preserve">Expansion of existing transfer programs for vulnerable households, as well as support to exporting industries. Increased allocation has been made to the Open Market Sale (OMS) program to ensure adequate food supply for lower-income class households, particularly those dependent on daily wages. 
</t>
    </r>
    <r>
      <rPr>
        <sz val="10"/>
        <color theme="1"/>
        <rFont val="Symbol"/>
        <family val="1"/>
        <charset val="2"/>
      </rPr>
      <t>·</t>
    </r>
    <r>
      <rPr>
        <sz val="10"/>
        <color theme="1"/>
        <rFont val="Arial"/>
        <family val="2"/>
      </rPr>
      <t xml:space="preserve"> </t>
    </r>
    <r>
      <rPr>
        <sz val="10"/>
        <color theme="1"/>
        <rFont val="Arial"/>
        <family val="2"/>
      </rPr>
      <t>The government has announced to provide support to different export-oriented industries employing in excess of 4 million workers and directed to wage and allowance support.</t>
    </r>
  </si>
  <si>
    <t>Medical staff together with policy and other specialists will receive a bonus of one-month salary.</t>
  </si>
  <si>
    <t>Additional health spending (TND 0.3 bn) and create a fund for the acquisition of equipment for public hospitals; waiver of VAT for business selling medicines (TND 0.03 bn).</t>
  </si>
  <si>
    <t>Additional disinfection procedures carried out in health, education and other public facilities. Active screening and testing, continuous surveillance and rapid response team to deal with suspected cases.</t>
  </si>
  <si>
    <t>• Farm Credit Canada will receive support from the government that will allow for an additional CAN $5 bn in lending capacity to producers, agribusinesses, and food processors.</t>
  </si>
  <si>
    <t>• Credit guarantees will be provided to banks’ lending to micro, small and medium enterprises (SMEs) for the production of foods and basic supplies.</t>
  </si>
  <si>
    <t>• Expanded credit line for SMEs to hire new workers and maintain existing employment (R $5 bn).
• Temporary suspension of debt service payments from state governments to the federal government (R $12.6 bn). 
• Public banks announced credit lines totaling R $212 bn.</t>
  </si>
  <si>
    <t>• Government will back (assuming 85% of the risk) a R $40 bn credit line  operated by private banks for SMEs, specifically to cover payroll costs. Interest rates are capped at the policy rate (3.75%).</t>
  </si>
  <si>
    <t>The loan guarantee program for SMEs (especially those affected by the outbreak) is expanded to cover up to 75 percent of total loan, with maturity of 1 year or less.</t>
  </si>
  <si>
    <t>Total size</t>
  </si>
  <si>
    <t>Sources: National authorities and IMF staff estimates.</t>
  </si>
  <si>
    <t>Another 2.5 percent of GDP in countercyclical support is expected to come through the stronger automatic stabilizers—including from weaker tax receipts and higher social benefits.</t>
  </si>
  <si>
    <t xml:space="preserve">Tax deferrals for companies that are in financial distress. Temporary suspension of penalties for late tax payments. Interest rate on tax deferral is reduced from 4 percent to just above 0. Stronger automatic stabilizers given the broad social safety nets. </t>
  </si>
  <si>
    <t>Health sector budgetary support from central government and a reduction of tariffs for strategic health imports.</t>
  </si>
  <si>
    <t xml:space="preserve">Credit guarantees for Swedish airlines; and expansion of the Swedish Export Credit Agency’s credit guarantee framework and the programs under the Swedish Export Credit Corporation, loan guarantees for SMEs, and expansion of the National Board of Health and Welfare's credit framework. </t>
  </si>
  <si>
    <t>Country / 
Country group</t>
  </si>
  <si>
    <t>Automatic stabilizers, contingency lines</t>
  </si>
  <si>
    <t>LC bn</t>
  </si>
  <si>
    <t>USD bn</t>
  </si>
  <si>
    <t>% GDP</t>
  </si>
  <si>
    <r>
      <rPr>
        <b/>
        <sz val="10"/>
        <color theme="1"/>
        <rFont val="Arial"/>
        <family val="2"/>
      </rPr>
      <t>Spending measures (£5 bn):</t>
    </r>
    <r>
      <rPr>
        <sz val="10"/>
        <color theme="1"/>
        <rFont val="Arial"/>
        <family val="2"/>
      </rPr>
      <t xml:space="preserve">
• Additional funding for the National Health Service, including to expand the number of hospital beds, medical staff and equipment. 
</t>
    </r>
    <r>
      <rPr>
        <b/>
        <sz val="10"/>
        <color theme="1"/>
        <rFont val="Arial"/>
        <family val="2"/>
      </rPr>
      <t>Revenue measures:</t>
    </r>
    <r>
      <rPr>
        <sz val="10"/>
        <color theme="1"/>
        <rFont val="Arial"/>
        <family val="2"/>
      </rPr>
      <t xml:space="preserve">
• Waiver of VAT and duties on critical medical imports.</t>
    </r>
  </si>
  <si>
    <r>
      <rPr>
        <b/>
        <sz val="10"/>
        <color theme="1"/>
        <rFont val="Arial"/>
        <family val="2"/>
      </rPr>
      <t>Spending measures (AUS $3.6 bn):</t>
    </r>
    <r>
      <rPr>
        <sz val="10"/>
        <color theme="1"/>
        <rFont val="Arial"/>
        <family val="2"/>
      </rPr>
      <t xml:space="preserve">
• Support for primary and aged care, hospitals, and research to ensure effective diagnosis and treatment of the infected and minimize the spread of the virus.
• The Commonwealth government to pay for half of all additional costs incurred by states and territories in diagnosing and treating patients with COVID-19.</t>
    </r>
  </si>
  <si>
    <r>
      <rPr>
        <b/>
        <sz val="10"/>
        <color theme="1"/>
        <rFont val="Arial"/>
        <family val="2"/>
      </rPr>
      <t>Spending measures:</t>
    </r>
    <r>
      <rPr>
        <sz val="10"/>
        <color theme="1"/>
        <rFont val="Arial"/>
        <family val="2"/>
      </rPr>
      <t xml:space="preserve">
• Coronavirus Preparedness and Response Supplemental Appropriations Act (March 6, 2020) approved with $8.3bn for treatments, drugs, and public health measures, of which US$1.25 bn is included for international assistance. 
• Coronavirus Aid, Relief, and Economic Security Act (March 27, 2020) approved $100 bn for hospitals, $1.32 bn for community centers, $4.3 bn for the Center of Disease Control, and $27 bn for vaccine development.</t>
    </r>
  </si>
  <si>
    <r>
      <rPr>
        <b/>
        <sz val="10"/>
        <color theme="1"/>
        <rFont val="Arial"/>
        <family val="2"/>
      </rPr>
      <t>Spending measures:</t>
    </r>
    <r>
      <rPr>
        <sz val="10"/>
        <color theme="1"/>
        <rFont val="Arial"/>
        <family val="2"/>
      </rPr>
      <t xml:space="preserve">
• Expenditure to improve epidemic prevention and control and the national public health emergency management system.
</t>
    </r>
    <r>
      <rPr>
        <b/>
        <sz val="10"/>
        <color theme="1"/>
        <rFont val="Arial"/>
        <family val="2"/>
      </rPr>
      <t>Revenue measures:</t>
    </r>
    <r>
      <rPr>
        <sz val="10"/>
        <color theme="1"/>
        <rFont val="Arial"/>
        <family val="2"/>
      </rPr>
      <t xml:space="preserve">
• Tariffs were exempted for the import of medicines, medical supplies, and other vehicles used to fight against the outbreak.</t>
    </r>
  </si>
  <si>
    <r>
      <rPr>
        <b/>
        <sz val="10"/>
        <color theme="1"/>
        <rFont val="Arial"/>
        <family val="2"/>
      </rPr>
      <t xml:space="preserve">Spending measures. </t>
    </r>
    <r>
      <rPr>
        <sz val="10"/>
        <color theme="1"/>
        <rFont val="Arial"/>
        <family val="2"/>
      </rPr>
      <t xml:space="preserve"> 
</t>
    </r>
    <r>
      <rPr>
        <sz val="10"/>
        <color theme="1"/>
        <rFont val="Symbol"/>
        <family val="1"/>
        <charset val="2"/>
      </rPr>
      <t>·</t>
    </r>
    <r>
      <rPr>
        <sz val="10"/>
        <color theme="1"/>
        <rFont val="Arial"/>
        <family val="2"/>
      </rPr>
      <t xml:space="preserve"> Faster direct contracting for services associated with the emergency response and expanded transfers for vulnerable groups.
</t>
    </r>
    <r>
      <rPr>
        <sz val="10"/>
        <color theme="1"/>
        <rFont val="Symbol"/>
        <family val="1"/>
        <charset val="2"/>
      </rPr>
      <t>·</t>
    </r>
    <r>
      <rPr>
        <sz val="10"/>
        <color theme="1"/>
        <rFont val="Arial"/>
        <family val="2"/>
      </rPr>
      <t xml:space="preserve"> Expanded transfers for vulnerable groups (Including accelerated VAT reimbursements).
</t>
    </r>
    <r>
      <rPr>
        <sz val="10"/>
        <color theme="1"/>
        <rFont val="Symbol"/>
        <family val="1"/>
        <charset val="2"/>
      </rPr>
      <t>·</t>
    </r>
    <r>
      <rPr>
        <sz val="10"/>
        <color theme="1"/>
        <rFont val="Arial"/>
        <family val="2"/>
      </rPr>
      <t xml:space="preserve"> Created a National Emergency Mitigation Fund (FOME, worth around 1.5 percent of GDP), partially funded from regional and stabilization funds.
</t>
    </r>
    <r>
      <rPr>
        <b/>
        <sz val="10"/>
        <color theme="1"/>
        <rFont val="Arial"/>
        <family val="2"/>
      </rPr>
      <t xml:space="preserve">Deferral of payments: </t>
    </r>
    <r>
      <rPr>
        <sz val="10"/>
        <color theme="1"/>
        <rFont val="Arial"/>
        <family val="2"/>
      </rPr>
      <t xml:space="preserve">Delayed tax collection for the tourism and air transportation sectors. </t>
    </r>
  </si>
  <si>
    <r>
      <rPr>
        <b/>
        <sz val="10"/>
        <color theme="1"/>
        <rFont val="Arial"/>
        <family val="2"/>
      </rPr>
      <t>Spending measures</t>
    </r>
    <r>
      <rPr>
        <sz val="10"/>
        <color theme="1"/>
        <rFont val="Arial"/>
        <family val="2"/>
      </rPr>
      <t xml:space="preserve">: A fiscal stimulus package to provide relief for taxpayers and incentivize employers to retain and recruit staff during the downturn is being designed, and an automatic fuel price formula introduced to ensure fuel subsidies are eliminated. The government is reviewing its 2020 budget and, given the expected large fall in oil revenues, announced plans to cut/delay non-essential capital spending by N1.5 trillion (close to 1 percent of GDP). 
</t>
    </r>
    <r>
      <rPr>
        <b/>
        <sz val="10"/>
        <color theme="1"/>
        <rFont val="Arial"/>
        <family val="2"/>
      </rPr>
      <t>Revenue measures:</t>
    </r>
    <r>
      <rPr>
        <sz val="10"/>
        <color theme="1"/>
        <rFont val="Arial"/>
        <family val="2"/>
      </rPr>
      <t xml:space="preserve"> Import duty waivers for pharmaceutical firms will be introduced.</t>
    </r>
  </si>
  <si>
    <r>
      <rPr>
        <b/>
        <sz val="10"/>
        <color theme="1"/>
        <rFont val="Arial"/>
        <family val="2"/>
      </rPr>
      <t>Spending measures</t>
    </r>
    <r>
      <rPr>
        <sz val="10"/>
        <color theme="1"/>
        <rFont val="Arial"/>
        <family val="2"/>
      </rPr>
      <t xml:space="preserve">: The government will also introduce a Wage Support Scheme to limit the socio-economic impact by providing financial support to employees who would become unemployed on a temporary basis. 
</t>
    </r>
    <r>
      <rPr>
        <b/>
        <sz val="10"/>
        <color theme="1"/>
        <rFont val="Arial"/>
        <family val="2"/>
      </rPr>
      <t xml:space="preserve">Revenue measures: </t>
    </r>
    <r>
      <rPr>
        <sz val="10"/>
        <color theme="1"/>
        <rFont val="Arial"/>
        <family val="2"/>
      </rPr>
      <t>A range of small tax reduction, such as cutting a 1% levy on the tourism sector to 0.5% and reducing port taxes.</t>
    </r>
  </si>
  <si>
    <t>Special Feature Online Annex 1.1 Fiscal Measures in Selected Economies in Response to the COVID-19 Pandemic</t>
  </si>
  <si>
    <t xml:space="preserve">Transfers to municipalities that have large health expenses due to the pandemic. </t>
  </si>
  <si>
    <t>Automatic stabilizers, contingency lines, advance payments and tax deferrals, international aid; Deferral of various tax payments.</t>
  </si>
  <si>
    <t>Selected low income developing countries</t>
  </si>
  <si>
    <r>
      <rPr>
        <sz val="10"/>
        <color theme="1"/>
        <rFont val="Symbol"/>
        <family val="1"/>
        <charset val="2"/>
      </rPr>
      <t>·</t>
    </r>
    <r>
      <rPr>
        <sz val="10"/>
        <color theme="1"/>
        <rFont val="Arial"/>
        <family val="2"/>
      </rPr>
      <t xml:space="preserve"> </t>
    </r>
    <r>
      <rPr>
        <sz val="10"/>
        <color theme="1"/>
        <rFont val="Arial"/>
        <family val="2"/>
      </rPr>
      <t>Additional remunerations in the ministries of health, interior and defense (0.5 bn).
· Enhanced use of EU funds for expansion of social patronage services for the elderly and disabled people and purchase of medical supplies and equipment.</t>
    </r>
  </si>
  <si>
    <r>
      <t xml:space="preserve">The size of fiscal support is preliminary staff estimates and only part of the spending will be reflected in general government budget. 
</t>
    </r>
    <r>
      <rPr>
        <b/>
        <sz val="10"/>
        <color theme="1"/>
        <rFont val="Arial"/>
        <family val="2"/>
      </rPr>
      <t>Spending measures</t>
    </r>
    <r>
      <rPr>
        <sz val="10"/>
        <color theme="1"/>
        <rFont val="Arial"/>
        <family val="2"/>
      </rPr>
      <t xml:space="preserve">: Cash payments to the unemployed ($95 per month per person) and support employment under an “Employment Roadmap” program. Other targeted support to sectors hard-hit during the state of emergency. 
</t>
    </r>
    <r>
      <rPr>
        <b/>
        <sz val="10"/>
        <color theme="1"/>
        <rFont val="Arial"/>
        <family val="2"/>
      </rPr>
      <t>Revenue measures:</t>
    </r>
    <r>
      <rPr>
        <sz val="10"/>
        <color theme="1"/>
        <rFont val="Arial"/>
        <family val="2"/>
      </rPr>
      <t xml:space="preserve"> Measures include tax breaks for large trade centers, cinemas, which are closed during to COVID-19; tax exemptions for individual entrepreneurs and SMEs; and postpone tax reporting from Q2 to Q3. VAT exemptions on food and socially important goods and services (such as lower utility rate).</t>
    </r>
  </si>
  <si>
    <r>
      <rPr>
        <b/>
        <sz val="10"/>
        <color theme="1"/>
        <rFont val="Arial"/>
        <family val="2"/>
      </rPr>
      <t>Spending measures</t>
    </r>
    <r>
      <rPr>
        <sz val="10"/>
        <color theme="1"/>
        <rFont val="Arial"/>
        <family val="2"/>
      </rPr>
      <t xml:space="preserve"> (TND 1.15bn): Monthly cash transfers for low income households, disabled, and homeless people up to three months; temporary support for unemployed and self-employed; strategic stock of basic food items.
</t>
    </r>
    <r>
      <rPr>
        <b/>
        <sz val="10"/>
        <color theme="1"/>
        <rFont val="Arial"/>
        <family val="2"/>
      </rPr>
      <t xml:space="preserve">Revenue measures </t>
    </r>
    <r>
      <rPr>
        <sz val="10"/>
        <color theme="1"/>
        <rFont val="Arial"/>
        <family val="2"/>
      </rPr>
      <t xml:space="preserve">(total TND 0.23 bn): Accelerating VAT refunds and reimbursement; rescheduling tax arrears for up to 7 years; suspension of penalties for delayed tax return for three months; allow companies to revalue their assets based on real value, while exempting the goodwill. Other tax measures to limit layoffs and protect the most vulnerable people especially in the informal sector. 
</t>
    </r>
    <r>
      <rPr>
        <b/>
        <sz val="10"/>
        <color theme="1"/>
        <rFont val="Arial"/>
        <family val="2"/>
      </rPr>
      <t>Deferral of payments:</t>
    </r>
    <r>
      <rPr>
        <sz val="10"/>
        <color theme="1"/>
        <rFont val="Arial"/>
        <family val="2"/>
      </rPr>
      <t xml:space="preserve"> Postponement of CIT payments, other taxes and social contributions until end-May. </t>
    </r>
  </si>
  <si>
    <t>Spending and revenue measures
 in the health sector</t>
  </si>
  <si>
    <t>Spending and revenue measures
 in areas other than health</t>
  </si>
  <si>
    <t>Selected advanced economies outside the G20</t>
  </si>
  <si>
    <t>G20 advanced economies</t>
  </si>
  <si>
    <t>G20 emerging market economies</t>
  </si>
  <si>
    <t>Selected emerging market economies outside the G20</t>
  </si>
  <si>
    <t xml:space="preserve">• Government to provide the Australian Office of Financial Management with an investment capacity (AUS $15 bn) to invest in structured finance markets used by smaller lenders. </t>
  </si>
  <si>
    <t>• Canada Emergency Business Account program will provide up to CAN $25 bn in funds and guarantees for eligible financial institutions to provide interest-free loans to small businesses. 
• SME Loan and Guarantee program will guarantee up to CAN $40 bn in lending, supported through Export Development Canada and Business Development Bank.</t>
  </si>
  <si>
    <t>• Redirecting €1 bn from the EU Budget as a guarantee to the European Investment Fund to incentivize banks to provide liquidity to hit SMEs and midcaps.</t>
  </si>
  <si>
    <t>(iii) €400 bn to provide additional state guarantees to non-financial corporations to alleviate liquidity bottlenecks and support refinancing.
•  An expansion of the existing KfW-programs, by increasing the guarantee framework for KfW to €822 bn from the current €460 bn. 
•  Total guarantees provided by state governments to be increased by €63 bn.</t>
  </si>
  <si>
    <t xml:space="preserve">• An economic stabilization fund (WSF) of €600 bn is setup with three components: 
(i) €100 bn for government equity investments in significantly affected companies; 
(ii) €100 bn loan to state development bank KfW for financing affected firms that do not have access to KfW’s existing programs; </t>
  </si>
  <si>
    <r>
      <rPr>
        <b/>
        <sz val="10"/>
        <color theme="1"/>
        <rFont val="Arial"/>
        <family val="2"/>
      </rPr>
      <t>Spending measures:</t>
    </r>
    <r>
      <rPr>
        <sz val="10"/>
        <color theme="1"/>
        <rFont val="Arial"/>
        <family val="2"/>
      </rPr>
      <t xml:space="preserve">
• Budget increase for Health Ministry, including for improvements in virus diagnostics, purchases of hospital equipment; and construction of temporary emergency treatment centers.</t>
    </r>
  </si>
  <si>
    <t xml:space="preserve">• Support for hard-hit sectors, including subsidized loans for construction activities. </t>
  </si>
  <si>
    <r>
      <rPr>
        <b/>
        <sz val="10"/>
        <color theme="1"/>
        <rFont val="Arial"/>
        <family val="2"/>
      </rPr>
      <t>Spending measures:</t>
    </r>
    <r>
      <rPr>
        <sz val="10"/>
        <color theme="1"/>
        <rFont val="Arial"/>
        <family val="2"/>
      </rPr>
      <t xml:space="preserve"> 
• Increased salaries for medical staff, and also for health and safety inspectors (staff of the Federal Service for Surveillance on Consumer Rights Protection and Human Wellbeing).
• Bonus fund of RUB 11.8 bn for medical staff dealing with COVID-19.
• Over RUB 23 bn from the government's reserve fund disbursed for public procurement of coronavirus-related supplies.
• The government allocated RUB 8.8 bn to the Ministry of Defense to construct 16 infection hospitals for military staff.
• The government disbursed RUB 1.4 bn from its reserve fund for R&amp;D on diagnostics and prevention of COVID-19.
• The government allocated RUB 33.4 bn to 77 regions for additional Coronavirus beds and equipment.</t>
    </r>
  </si>
  <si>
    <t>• Lending by public banks.</t>
  </si>
  <si>
    <t>• The government will guarantee 70 percent of new loan value to large companies that can demonstrate a fall in turnover over more than 30 percent; it guarantees 70 percent of new bank loan values to SMEs that have operating profits fallen by more than 30 percent. 
• It provides a credit guarantee for Scandinavian Airlines (SAS).</t>
  </si>
  <si>
    <t>Measures to contain the outbreak, provided mainly to the Ministry of Health.</t>
  </si>
  <si>
    <t>Abu Dhabi: Credit guarantees and liquidity support to small- and medium-sized enterprises.</t>
  </si>
  <si>
    <t>The third fiscal package includes IDR 150 trillion (0.9 percent of GDP) financing for a national economic program, including to support credit guarantees for the private sector.</t>
  </si>
  <si>
    <t>Exemption of import tariff for medical material. Suspension of VAT for domestically produced medical material; treatment costs of Covid-19 positive patients are covered by either Health Insurance Fund (under Vietnam Social Security) or by the state budget.</t>
  </si>
  <si>
    <t xml:space="preserve">Credit lines amounting to ARS 350 billion will be provided to finance wage payments and production inputs of small and medium sized industries and commerce. The funds will come almost entirely (ARS 320 billion) from local banks. The BCRA will announce in coming days a specific regulation facilitating this. </t>
  </si>
  <si>
    <r>
      <rPr>
        <b/>
        <sz val="10"/>
        <color theme="1"/>
        <rFont val="Arial"/>
        <family val="2"/>
      </rPr>
      <t>Spending measures</t>
    </r>
    <r>
      <rPr>
        <sz val="10"/>
        <color theme="1"/>
        <rFont val="Arial"/>
        <family val="2"/>
      </rPr>
      <t xml:space="preserve"> Lk6.5bn: 
</t>
    </r>
    <r>
      <rPr>
        <sz val="10"/>
        <color theme="1"/>
        <rFont val="Symbol"/>
        <family val="1"/>
        <charset val="2"/>
      </rPr>
      <t>·</t>
    </r>
    <r>
      <rPr>
        <sz val="10"/>
        <color theme="1"/>
        <rFont val="Arial"/>
        <family val="2"/>
      </rPr>
      <t xml:space="preserve"> Support of small businesses/self-employed that are forced to close activities due to the pandemic (a minimum wage of Lk26,000 per month), and people in family businesses (with declared but unpaid family members in the payroll, for up to two minimum wages). These measures will last up to 3 months from April.
</t>
    </r>
    <r>
      <rPr>
        <sz val="10"/>
        <color theme="1"/>
        <rFont val="Symbol"/>
        <family val="1"/>
        <charset val="2"/>
      </rPr>
      <t>·</t>
    </r>
    <r>
      <rPr>
        <sz val="10"/>
        <color theme="1"/>
        <rFont val="Arial"/>
        <family val="2"/>
      </rPr>
      <t xml:space="preserve"> Reprioritize LK 2bn of defense spending toward humanitarian relief for the most vulnerable.
</t>
    </r>
    <r>
      <rPr>
        <b/>
        <sz val="10"/>
        <color theme="1"/>
        <rFont val="Arial"/>
        <family val="2"/>
      </rPr>
      <t>Deferral of payments</t>
    </r>
    <r>
      <rPr>
        <sz val="10"/>
        <color theme="1"/>
        <rFont val="Arial"/>
        <family val="2"/>
      </rPr>
      <t>. Small businesses (those below an annual turnover threshold) can defer payments of the profit tax installments in the second half of the year.</t>
    </r>
  </si>
  <si>
    <t>• State guarantees for bank loans to companies (€300 bn).</t>
  </si>
  <si>
    <t>Euro Area/ European Union</t>
  </si>
  <si>
    <r>
      <rPr>
        <b/>
        <sz val="10"/>
        <color theme="1"/>
        <rFont val="Arial"/>
        <family val="2"/>
      </rPr>
      <t>Spending measures:</t>
    </r>
    <r>
      <rPr>
        <sz val="10"/>
        <color theme="1"/>
        <rFont val="Arial"/>
        <family val="2"/>
      </rPr>
      <t xml:space="preserve">
</t>
    </r>
    <r>
      <rPr>
        <sz val="10"/>
        <color theme="1"/>
        <rFont val="Symbol"/>
        <family val="1"/>
        <charset val="2"/>
      </rPr>
      <t>·</t>
    </r>
    <r>
      <rPr>
        <sz val="10"/>
        <color theme="1"/>
        <rFont val="Arial"/>
        <family val="2"/>
      </rPr>
      <t xml:space="preserve"> Additional expenditures on wage subsidies for short-term leave, increase in transfers to relevant agencies to deal with the coronavirus outbreak. 
</t>
    </r>
    <r>
      <rPr>
        <sz val="10"/>
        <color theme="1"/>
        <rFont val="Symbol"/>
        <family val="1"/>
        <charset val="2"/>
      </rPr>
      <t>·</t>
    </r>
    <r>
      <rPr>
        <sz val="10"/>
        <color theme="1"/>
        <rFont val="Arial"/>
        <family val="2"/>
      </rPr>
      <t xml:space="preserve"> Temporary payment of sick leave, extra funding to the cultural sector and sports sector, rent subsidies to certain sectors, more generous unemployment benefits, expanded active labor market policies, more funding for education and training, increased testing for COVID-19 and grants to municipalities and regions.  
</t>
    </r>
    <r>
      <rPr>
        <sz val="10"/>
        <color theme="1"/>
        <rFont val="Symbol"/>
        <family val="1"/>
        <charset val="2"/>
      </rPr>
      <t>·</t>
    </r>
    <r>
      <rPr>
        <sz val="10"/>
        <color theme="1"/>
        <rFont val="Arial"/>
        <family val="2"/>
      </rPr>
      <t xml:space="preserve"> The government has contributed SEK 40 million to the WHO’s Contingency Fund for Emergencies.
</t>
    </r>
    <r>
      <rPr>
        <b/>
        <sz val="10"/>
        <color theme="1"/>
        <rFont val="Arial"/>
        <family val="2"/>
      </rPr>
      <t>Revenue measures</t>
    </r>
    <r>
      <rPr>
        <sz val="10"/>
        <color theme="1"/>
        <rFont val="Arial"/>
        <family val="2"/>
      </rPr>
      <t xml:space="preserve">: Temporary reduction in employers' social security contributions. 
</t>
    </r>
    <r>
      <rPr>
        <b/>
        <sz val="10"/>
        <color theme="1"/>
        <rFont val="Arial"/>
        <family val="2"/>
      </rPr>
      <t>Deferral of payments:</t>
    </r>
    <r>
      <rPr>
        <sz val="10"/>
        <color theme="1"/>
        <rFont val="Arial"/>
        <family val="2"/>
      </rPr>
      <t xml:space="preserve"> Companies can defer a maximum of three months on social contribution fees, VAT, and payroll taxes for a period of up to 12 months.</t>
    </r>
  </si>
  <si>
    <t>•  Under CBILS, the government will provide lenders with a guarantee of 80% on each loan.
•  The Coronavirus Large Business Interruption Loan Scheme (CLBILS) will provide a government guarantee of 80 percent to enable banks to make loans of up to £25 million to firms with an annual turnover of between £45 million and £500 million.</t>
  </si>
  <si>
    <r>
      <rPr>
        <b/>
        <sz val="10"/>
        <rFont val="Arial"/>
        <family val="2"/>
      </rPr>
      <t xml:space="preserve">Spending measures (€16.7 bn): </t>
    </r>
    <r>
      <rPr>
        <sz val="10"/>
        <rFont val="Arial"/>
        <family val="2"/>
      </rPr>
      <t xml:space="preserve">including Income support to laid-off workers and the self-employed by broadening the wage supplementation fund (€10.3). 
</t>
    </r>
    <r>
      <rPr>
        <b/>
        <sz val="10"/>
        <rFont val="Arial"/>
        <family val="2"/>
      </rPr>
      <t xml:space="preserve">Deferral of payments: </t>
    </r>
    <r>
      <rPr>
        <sz val="10"/>
        <rFont val="Arial"/>
        <family val="2"/>
      </rPr>
      <t xml:space="preserve">including postponement of certain tax and social security payments for SMEs, as well as taxes and utility bill payments in most affected municipalities. </t>
    </r>
  </si>
  <si>
    <r>
      <rPr>
        <b/>
        <sz val="10"/>
        <color theme="1"/>
        <rFont val="Arial"/>
        <family val="2"/>
      </rPr>
      <t xml:space="preserve">Spending measures (€3.2 bn): </t>
    </r>
    <r>
      <rPr>
        <sz val="10"/>
        <color theme="1"/>
        <rFont val="Arial"/>
        <family val="2"/>
      </rPr>
      <t>including on medical equipment and staff, as well as civil protection.</t>
    </r>
  </si>
  <si>
    <t>The first package (10.3), second package (22.9) and tax and expenditure measures from the third package (255.1). How the 150 trillion from the third package will be used is not fully clear yet (, but most likely in the form of liquid support for firms (thus below the line in the budget).  </t>
  </si>
  <si>
    <r>
      <rPr>
        <b/>
        <sz val="10"/>
        <rFont val="Arial"/>
        <family val="2"/>
      </rPr>
      <t>Spending measures:</t>
    </r>
    <r>
      <rPr>
        <sz val="10"/>
        <rFont val="Arial"/>
        <family val="2"/>
      </rPr>
      <t xml:space="preserve">
• The first fiscal package of IDR10.3 trillion comprises support to the tourism sector (tax cuts and discounts on airplane tickets and jet-fuel) and to low-income households (social assistance and subsidy for home buyers) starting from March 1 for most measures. 
• The third fiscal package includes IDR110 trillion (0.7 percent of GDP) additional social assistance spending, including increasing benefits and coverage of existing social safety nets such as food aid and unemployment benefits, and electricity subsidies.</t>
    </r>
    <r>
      <rPr>
        <b/>
        <sz val="10"/>
        <rFont val="Arial"/>
        <family val="2"/>
      </rPr>
      <t xml:space="preserve">
Revenue measures: 
</t>
    </r>
    <r>
      <rPr>
        <sz val="10"/>
        <rFont val="Arial"/>
        <family val="2"/>
      </rPr>
      <t>• Tax cuts for the tourism sector.
• The second fiscal package of IDR33.2 trillion includes income tax exemptions to workers in the industrial sectors (with an income ceiling) and support to businesses through delayed payments for income tax and acceleration in VAT refund from April to September.
• The third package also includes various tax reliefs and incentives, including exemption and reduction of income taxes (with an income ceiling) and a reduction of the corporate income tax from 25 percent to 22 percent.</t>
    </r>
  </si>
  <si>
    <r>
      <rPr>
        <b/>
        <sz val="10"/>
        <color theme="1"/>
        <rFont val="Arial"/>
        <family val="2"/>
      </rPr>
      <t>Spending measures (IDR 76 tn):</t>
    </r>
    <r>
      <rPr>
        <sz val="10"/>
        <color theme="1"/>
        <rFont val="Arial"/>
        <family val="2"/>
      </rPr>
      <t xml:space="preserve">
• IDR 1 trillion initially allocated to cover various outlays, including personal protective equipment, enhanced surveillance at entry gates to Indonesia, hospital treatment, and hospital infrastructure. 
• On March 31, 2020, the government announced a third larger fiscal package, including IDR75 trillion (0.5 percent of GDP) for health spending to boost testing and treatment capability, including the acquisition of personal protective equipment, test kits, ventilators, and the upgrade of 132 referral hospitals to handle COVID-19 patients.</t>
    </r>
  </si>
  <si>
    <r>
      <rPr>
        <b/>
        <sz val="10"/>
        <rFont val="Arial"/>
        <family val="2"/>
      </rPr>
      <t xml:space="preserve">Spending measures (AUS $188 bn): </t>
    </r>
    <r>
      <rPr>
        <sz val="10"/>
        <rFont val="Arial"/>
        <family val="2"/>
      </rPr>
      <t xml:space="preserve">Tax-free cash payments to eligible small businesses to continue operations; wage subsidies for small businesses to keep their workers; payments to lower-income Australians, including pensioners, other social security and veteran income support recipients, and eligible concession card holders.
</t>
    </r>
    <r>
      <rPr>
        <b/>
        <sz val="10"/>
        <rFont val="Arial"/>
        <family val="2"/>
      </rPr>
      <t xml:space="preserve">Revenue measures (AUS 5.8 bn): </t>
    </r>
    <r>
      <rPr>
        <sz val="10"/>
        <rFont val="Arial"/>
        <family val="2"/>
      </rPr>
      <t>Asset write-off; accelerated depreciation deductions to support investment; tax reliefs for Australian airlines and airports; waiver of fees and charges for tourism businesses in most affected regions and communities.</t>
    </r>
  </si>
  <si>
    <r>
      <rPr>
        <b/>
        <sz val="10"/>
        <color theme="1"/>
        <rFont val="Arial"/>
        <family val="2"/>
      </rPr>
      <t xml:space="preserve">Spending measures (CAN $3.2 bn): </t>
    </r>
    <r>
      <rPr>
        <sz val="10"/>
        <color theme="1"/>
        <rFont val="Arial"/>
        <family val="2"/>
      </rPr>
      <t>Support to the health system including for increased testing, vaccine development, medical supplies, mitigation efforts; and greater support for Indigenous communities.</t>
    </r>
  </si>
  <si>
    <r>
      <rPr>
        <b/>
        <sz val="10"/>
        <color theme="1"/>
        <rFont val="Arial"/>
        <family val="2"/>
      </rPr>
      <t xml:space="preserve">Spending measures (CAN $105 bn): </t>
    </r>
    <r>
      <rPr>
        <sz val="10"/>
        <color theme="1"/>
        <rFont val="Arial"/>
        <family val="2"/>
      </rPr>
      <t xml:space="preserve">Income support for firms and people , including payments to workers without access to sick leave and employment insurance, an increase in existing GST tax credits and child care benefits, support to the most vulnerable including through a new Indigenous Community Support Fund, and a firm subsidy equal to 75 percent of employee wages for up to 3 months.
</t>
    </r>
    <r>
      <rPr>
        <b/>
        <sz val="10"/>
        <color theme="1"/>
        <rFont val="Arial"/>
        <family val="2"/>
      </rPr>
      <t xml:space="preserve">Deferral of payments (CAN $85 bn): </t>
    </r>
    <r>
      <rPr>
        <sz val="10"/>
        <color theme="1"/>
        <rFont val="Arial"/>
        <family val="2"/>
      </rPr>
      <t>Liquidity support through temporary interest-free tax deferrals for businesses and self employed, amounting to CAN $55 bn in deferred income taxes and CAN $30 bn in deferred GST/HST and customs duties for imports.</t>
    </r>
  </si>
  <si>
    <r>
      <rPr>
        <b/>
        <sz val="10"/>
        <color theme="1"/>
        <rFont val="Arial"/>
        <family val="2"/>
      </rPr>
      <t xml:space="preserve">Spending measures (€11.2 bn): </t>
    </r>
    <r>
      <rPr>
        <sz val="10"/>
        <color theme="1"/>
        <rFont val="Arial"/>
        <family val="2"/>
      </rPr>
      <t>Additional spending on hospital capacity, medical equipment, research, and information campaigns .</t>
    </r>
  </si>
  <si>
    <r>
      <rPr>
        <b/>
        <sz val="10"/>
        <color theme="1"/>
        <rFont val="Arial"/>
        <family val="2"/>
      </rPr>
      <t xml:space="preserve">Spending measures (€131.8 bn): </t>
    </r>
    <r>
      <rPr>
        <sz val="10"/>
        <color theme="1"/>
        <rFont val="Arial"/>
        <family val="2"/>
      </rPr>
      <t xml:space="preserve">including grants to hard hit small businesses and self-employed, increased access to childcare and basic social security benefits, and temporary relief to affected tenants. There is also support to firms and households provided through the “Kurzabeit” program, part of which could be considered discretionary because the program parameters have been changed.
</t>
    </r>
    <r>
      <rPr>
        <b/>
        <sz val="10"/>
        <color theme="1"/>
        <rFont val="Arial"/>
        <family val="2"/>
      </rPr>
      <t xml:space="preserve">
Deferral of payments: </t>
    </r>
    <r>
      <rPr>
        <sz val="10"/>
        <color theme="1"/>
        <rFont val="Arial"/>
        <family val="2"/>
      </rPr>
      <t>including options for deferring tax payments and reducing prepayments until the year-end without penalties.</t>
    </r>
  </si>
  <si>
    <r>
      <rPr>
        <b/>
        <sz val="10"/>
        <color theme="1"/>
        <rFont val="Arial"/>
        <family val="2"/>
      </rPr>
      <t xml:space="preserve">Spending measures (KRW 2.5 tn): </t>
    </r>
    <r>
      <rPr>
        <sz val="10"/>
        <color theme="1"/>
        <rFont val="Arial"/>
        <family val="2"/>
      </rPr>
      <t>Epidemic prevention and treatment, support for medical institutions and quarantined households.</t>
    </r>
  </si>
  <si>
    <r>
      <rPr>
        <b/>
        <sz val="10"/>
        <color theme="1"/>
        <rFont val="Arial"/>
        <family val="2"/>
      </rPr>
      <t xml:space="preserve">Spending measures (KRW 21 tn):
</t>
    </r>
    <r>
      <rPr>
        <sz val="10"/>
        <color theme="1"/>
        <rFont val="Arial"/>
        <family val="2"/>
      </rPr>
      <t>• Support for househol</t>
    </r>
    <r>
      <rPr>
        <sz val="10"/>
        <rFont val="Arial"/>
        <family val="2"/>
      </rPr>
      <t>ds, including employment retention support</t>
    </r>
    <r>
      <rPr>
        <sz val="10"/>
        <color theme="1"/>
        <rFont val="Arial"/>
        <family val="2"/>
      </rPr>
      <t xml:space="preserve">, consumption coupons for the poor, emergency family care support, and cash transfers to bottom 70% of households.
• Support for local communities, including local gift certificates and local government grants for infection prevention. Support for firms, including for wages and rent for small merchants.  
</t>
    </r>
    <r>
      <rPr>
        <b/>
        <sz val="10"/>
        <color theme="1"/>
        <rFont val="Arial"/>
        <family val="2"/>
      </rPr>
      <t xml:space="preserve">
Revenue measures  (KRW 2.5 tn): </t>
    </r>
    <r>
      <rPr>
        <sz val="10"/>
        <color theme="1"/>
        <rFont val="Arial"/>
        <family val="2"/>
      </rPr>
      <t xml:space="preserve">Consumption tax cut for auto purchases; temporary income tax cuts for landlords who reduce commercial rents; VAT reduction for the self-employed; social security contribution cut for households.
</t>
    </r>
    <r>
      <rPr>
        <b/>
        <sz val="10"/>
        <color theme="1"/>
        <rFont val="Arial"/>
        <family val="2"/>
      </rPr>
      <t xml:space="preserve">
Deferral of payments:</t>
    </r>
    <r>
      <rPr>
        <sz val="10"/>
        <color theme="1"/>
        <rFont val="Arial"/>
        <family val="2"/>
      </rPr>
      <t xml:space="preserve"> Tax deferral covering a broad range of taxes for small businesses and the self-employed in medical, tourism, performance, hospitality, and other affected sectors; social security contribution payment deferral for households.</t>
    </r>
  </si>
  <si>
    <t>• Expand lending of both state-owned and commercial banks to SMEs, small merchants, mid-sized firms, and large companies (the latter on a case-by-case basis) including emergency lending, partial and full guarantees, and collateralization of loan obligations.</t>
  </si>
  <si>
    <r>
      <rPr>
        <b/>
        <sz val="10"/>
        <color theme="1"/>
        <rFont val="Arial"/>
        <family val="2"/>
      </rPr>
      <t>Spending measures:</t>
    </r>
    <r>
      <rPr>
        <sz val="10"/>
        <color theme="1"/>
        <rFont val="Arial"/>
        <family val="2"/>
      </rPr>
      <t xml:space="preserve">
• Additional funding for the public health system to fight the disease (R$ 8 bn), including from the reallocation of funds originating from mandatory car insurance (R$ 4.5 bn). 
• Access to 20 percent of the Health Guarantee Fund resources (about US$ 2 bn) to provide the private health insurance companies with funding for investment in assistance infrastructure.
</t>
    </r>
    <r>
      <rPr>
        <b/>
        <sz val="10"/>
        <color theme="1"/>
        <rFont val="Arial"/>
        <family val="2"/>
      </rPr>
      <t xml:space="preserve">Revenue measures: </t>
    </r>
    <r>
      <rPr>
        <sz val="10"/>
        <color theme="1"/>
        <rFont val="Arial"/>
        <family val="2"/>
      </rPr>
      <t xml:space="preserve">Temporary tax cuts/exemption on health products to fight covid-19. </t>
    </r>
  </si>
  <si>
    <r>
      <rPr>
        <b/>
        <sz val="10"/>
        <color theme="1"/>
        <rFont val="Arial"/>
        <family val="2"/>
      </rPr>
      <t xml:space="preserve">Spending measures:
</t>
    </r>
    <r>
      <rPr>
        <sz val="10"/>
        <color theme="1"/>
        <rFont val="Arial"/>
        <family val="2"/>
      </rPr>
      <t xml:space="preserve">• Temporary income support to vulnerable households (2 percent of GDP), including advance social benefit payments to pensioners and wage bonuses to low income workers, expanding the Bolsa Familia program with the inclusion of over 1 million more beneficiaries, introducing a new “Covid-19” voucher payment of BRL600 a month (USD40) to 30 million poor families for the next three months, partial unemployment insurance benefits for workers with reduced hours or wages, reallocating resources to the workers’ severance fund (FGTS) to facilitate new withdrawals.
</t>
    </r>
    <r>
      <rPr>
        <b/>
        <sz val="10"/>
        <color theme="1"/>
        <rFont val="Arial"/>
        <family val="2"/>
      </rPr>
      <t xml:space="preserve">
Deferral of payments:</t>
    </r>
    <r>
      <rPr>
        <sz val="10"/>
        <color theme="1"/>
        <rFont val="Arial"/>
        <family val="2"/>
      </rPr>
      <t xml:space="preserve"> Payment of employers’ contributions to the FGTS and small business taxes will be postponed by 3 months. Small businesses will also be given a temporary reduction in non FGTS type of employer contributions. These measures will add up to 0.8 percent of GDP.</t>
    </r>
  </si>
  <si>
    <r>
      <rPr>
        <b/>
        <sz val="10"/>
        <rFont val="Arial"/>
        <family val="2"/>
      </rPr>
      <t xml:space="preserve">Spending measures:
</t>
    </r>
    <r>
      <rPr>
        <sz val="10"/>
        <rFont val="Arial"/>
        <family val="2"/>
      </rPr>
      <t>• Front-loaded government spending possibly on infrastructure and through issuance of special local government bonds. 
• A refund of 2019 unemployment insurance premiums for companies that minimize layoffs .</t>
    </r>
    <r>
      <rPr>
        <b/>
        <sz val="10"/>
        <rFont val="Arial"/>
        <family val="2"/>
      </rPr>
      <t xml:space="preserve">
Revenue measures:
</t>
    </r>
    <r>
      <rPr>
        <sz val="10"/>
        <rFont val="Arial"/>
        <family val="2"/>
      </rPr>
      <t xml:space="preserve">•  VAT exemptions for a wide range of goods and services related to epidemic control, as well as for small taxpayers in Hubei; and VAT rate cut from 3% to 1% in other regions for 3 months. 
• Corporate income tax relief for businesses in affected sectors through a longer tax loss carryover period to 8 years or one-off 100 percent expensing deduction for investment in equipment to expand production capacity.
• Social security contributions by employers in Hubei province and SMEs (50 percent for large firms) in the other provinces are waived until June (April). </t>
    </r>
    <r>
      <rPr>
        <b/>
        <sz val="10"/>
        <rFont val="Arial"/>
        <family val="2"/>
      </rPr>
      <t xml:space="preserve">
Deferral of payments: </t>
    </r>
    <r>
      <rPr>
        <sz val="10"/>
        <rFont val="Arial"/>
        <family val="2"/>
      </rPr>
      <t>Firms are also allowed to defer their social security payments by 6 months, and the due date for contributing to the “housing provident fund” is extended to end-June.</t>
    </r>
  </si>
  <si>
    <r>
      <rPr>
        <b/>
        <sz val="10"/>
        <color theme="1"/>
        <rFont val="Arial"/>
        <family val="2"/>
      </rPr>
      <t xml:space="preserve">Spending measures:  </t>
    </r>
    <r>
      <rPr>
        <sz val="10"/>
        <color theme="1"/>
        <rFont val="Arial"/>
        <family val="2"/>
      </rPr>
      <t xml:space="preserve">
• Quarantined or self-isolating individuals to receive sick leave benefits from the Social Insurance Fund. 
• Interest rate subsidies for SMEs.
• All children up to 3 years of age in families eligible for maternity capital to receive an additional RUB 5,000 for 3 months; earlier announced expansion of child benefits to children aged 3-7 to start in June, rather than July.
• Sick leave pay to equal at least the minimum wage until the end of 2020.
• Cap on unemployment benefits raised to the minimum wage until the end of 2020. </t>
    </r>
    <r>
      <rPr>
        <b/>
        <sz val="10"/>
        <color theme="1"/>
        <rFont val="Arial"/>
        <family val="2"/>
      </rPr>
      <t xml:space="preserve">
Revenue measures: 
</t>
    </r>
    <r>
      <rPr>
        <sz val="10"/>
        <color theme="1"/>
        <rFont val="Arial"/>
        <family val="2"/>
      </rPr>
      <t xml:space="preserve">• Social contributions on wages in excess of the minimum wage by SMEs reduced from 30 to 15 percent, permanently.  
• Tourism companies not to pay contributions to the tourist sector reserve fund.
</t>
    </r>
    <r>
      <rPr>
        <b/>
        <sz val="10"/>
        <color theme="1"/>
        <rFont val="Arial"/>
        <family val="2"/>
      </rPr>
      <t>Deferral of payments:</t>
    </r>
    <r>
      <rPr>
        <sz val="10"/>
        <color theme="1"/>
        <rFont val="Arial"/>
        <family val="2"/>
      </rPr>
      <t xml:space="preserve">
• Tax holiday until May 1 for SMEs and affected industries (tourism, aviation, sports, art, culture, cinema).
• 3-month grace periods for SME payments of social contributions.
• Tax holiday for 6 months for all taxes (except VAT) for all SMEs in affected sectors. </t>
    </r>
  </si>
  <si>
    <r>
      <rPr>
        <b/>
        <sz val="10"/>
        <rFont val="Arial"/>
        <family val="2"/>
      </rPr>
      <t xml:space="preserve">Spending measures: 
</t>
    </r>
    <r>
      <rPr>
        <sz val="10"/>
        <rFont val="Arial"/>
        <family val="2"/>
      </rPr>
      <t xml:space="preserve">• Raising minimum pension and cash assistance to families in need; direct support to Turkish Airlines and other affected entities; and income support to employees in work places that suspend activities (short-term work allowance).
</t>
    </r>
    <r>
      <rPr>
        <b/>
        <sz val="10"/>
        <rFont val="Arial"/>
        <family val="2"/>
      </rPr>
      <t xml:space="preserve">
Deferral of payments: 
</t>
    </r>
    <r>
      <rPr>
        <sz val="10"/>
        <rFont val="Arial"/>
        <family val="2"/>
      </rPr>
      <t>• Reduced/postponed taxes for affected industries (particularly tourism); and extension of personal and corporate income tax filing deadlines.</t>
    </r>
  </si>
  <si>
    <r>
      <rPr>
        <b/>
        <sz val="10"/>
        <color theme="1"/>
        <rFont val="Arial"/>
        <family val="2"/>
      </rPr>
      <t>Revenue measures:</t>
    </r>
    <r>
      <rPr>
        <sz val="10"/>
        <color theme="1"/>
        <rFont val="Arial"/>
        <family val="2"/>
      </rPr>
      <t xml:space="preserve"> Tax exemptions for essential sanitary products during the pandemic (e.g. hand sanitizers).</t>
    </r>
  </si>
  <si>
    <r>
      <rPr>
        <b/>
        <sz val="10"/>
        <color theme="1"/>
        <rFont val="Arial"/>
        <family val="2"/>
      </rPr>
      <t xml:space="preserve">Spending measures:
• </t>
    </r>
    <r>
      <rPr>
        <sz val="10"/>
        <color theme="1"/>
        <rFont val="Arial"/>
        <family val="2"/>
      </rPr>
      <t xml:space="preserve">Temporary compensation scheme for companies’ fixed costs between 100% and 25% depending on severity of impact. Temporary compensation scheme for self-employed and freelancers that are experiencing more than a 30% decrease in turnover will be entitled to a 75% compensation (max 23,000 DKK per month).
• Introduced a compensation scheme for cancelling or postponing major business events owing to the pandemic. 
• </t>
    </r>
    <r>
      <rPr>
        <sz val="10"/>
        <color theme="1"/>
        <rFont val="Arial"/>
        <family val="1"/>
        <charset val="2"/>
      </rPr>
      <t>Temporary wage subsidies at levels between 75 and 90 percent of workers' salary and reimbursement for sickness benefits.</t>
    </r>
    <r>
      <rPr>
        <sz val="10"/>
        <color theme="1"/>
        <rFont val="Arial"/>
        <family val="2"/>
        <charset val="2"/>
      </rPr>
      <t xml:space="preserve">
</t>
    </r>
    <r>
      <rPr>
        <b/>
        <sz val="10"/>
        <color theme="1"/>
        <rFont val="Arial"/>
        <family val="2"/>
      </rPr>
      <t xml:space="preserve">Deferral of payments: </t>
    </r>
    <r>
      <rPr>
        <sz val="10"/>
        <color theme="1"/>
        <rFont val="Arial"/>
        <family val="2"/>
        <charset val="2"/>
      </rPr>
      <t xml:space="preserve">
• Temporary postponement (4 months) of payment deadlines for withholding tax (A-tax) and labor market contributions, and for provisional tax paid by self-employed business (B-tax); one month deferral of VAT for businesses. VAT for small firms is extended from 6 months to 12 months in 2020, while the extension for medium-sized enterprises is from 3 months to 6 months for the first half of 2020. </t>
    </r>
  </si>
  <si>
    <r>
      <rPr>
        <b/>
        <sz val="10"/>
        <color theme="1"/>
        <rFont val="Arial"/>
        <family val="2"/>
      </rPr>
      <t>Spending measures</t>
    </r>
    <r>
      <rPr>
        <sz val="10"/>
        <color theme="1"/>
        <rFont val="Arial"/>
        <family val="2"/>
      </rPr>
      <t xml:space="preserve">: 
</t>
    </r>
    <r>
      <rPr>
        <sz val="10"/>
        <color theme="1"/>
        <rFont val="Symbol"/>
        <family val="1"/>
        <charset val="2"/>
      </rPr>
      <t>·</t>
    </r>
    <r>
      <rPr>
        <sz val="10"/>
        <color theme="1"/>
        <rFont val="Arial"/>
        <family val="2"/>
      </rPr>
      <t xml:space="preserve"> Expenditure measures include larger wage subsidies for temporary lay-offs and more generous unemployment benefits; expanded sickness benefits; grants for start-ups; subsidies for domestic air routes.
</t>
    </r>
    <r>
      <rPr>
        <sz val="10"/>
        <color theme="1"/>
        <rFont val="Symbol"/>
        <family val="1"/>
        <charset val="2"/>
      </rPr>
      <t>·</t>
    </r>
    <r>
      <rPr>
        <sz val="10"/>
        <color theme="1"/>
        <rFont val="Arial"/>
        <family val="2"/>
      </rPr>
      <t xml:space="preserve"> Grants to counties are increased to strengthen support for skills upgrade and in-house training for companies affected by the virus outbreak.
</t>
    </r>
    <r>
      <rPr>
        <b/>
        <sz val="10"/>
        <color theme="1"/>
        <rFont val="Arial"/>
        <family val="2"/>
      </rPr>
      <t>Revenue measures:</t>
    </r>
    <r>
      <rPr>
        <sz val="10"/>
        <color theme="1"/>
        <rFont val="Arial"/>
        <family val="2"/>
      </rPr>
      <t xml:space="preserve">
· The reduced VAT rate is temporarily cut from 12 to 8 percent (from April 1st to 30th October 2020). 
• Aviation taxes on air passengers are suspended from January 2020 to October 2020; aviation charges until 31 June 2020. 
· Corporate income tax regulations are amended so that companies can re-allocate their current losses towards previous years’ taxed profits, thus lowering their tax liabilities. Owners of lossmaking companies can postpone payments of wealth tax in 2020. 
·Temporary cut of employers’ social insurance contributions.
</t>
    </r>
    <r>
      <rPr>
        <b/>
        <sz val="10"/>
        <color theme="1"/>
        <rFont val="Arial"/>
        <family val="2"/>
      </rPr>
      <t>Deferral of payments:</t>
    </r>
    <r>
      <rPr>
        <sz val="10"/>
        <color theme="1"/>
        <rFont val="Arial"/>
        <family val="2"/>
      </rPr>
      <t xml:space="preserve"> for various taxes.</t>
    </r>
  </si>
  <si>
    <t>Liquidity provision to SMEs and households, including through the state-owned Banco del Estado (0.2 percent of GDP). A state injection to the unemployment insurance system (0.8 percent of GDP).</t>
  </si>
  <si>
    <r>
      <rPr>
        <b/>
        <sz val="10"/>
        <color theme="1"/>
        <rFont val="Arial"/>
        <family val="2"/>
      </rPr>
      <t>Spending measures:</t>
    </r>
    <r>
      <rPr>
        <sz val="10"/>
        <color theme="1"/>
        <rFont val="Arial"/>
        <family val="2"/>
      </rPr>
      <t xml:space="preserve"> Planned cash transfers of about VND 36 trillion (0.6 percent of GDP) to vulnerable households, including the poor, recipients of social protection program, workers who temporarily stopped working or have been on unpaid leave, unemployed workers without unemployment insurance, and self-employed workers. An additional VND 61.7 trillion for public investment (carryover from 2019) under consideration. </t>
    </r>
    <r>
      <rPr>
        <b/>
        <sz val="10"/>
        <color theme="1"/>
        <rFont val="Arial"/>
        <family val="2"/>
      </rPr>
      <t xml:space="preserve">
Revenue measures: </t>
    </r>
    <r>
      <rPr>
        <sz val="10"/>
        <color theme="1"/>
        <rFont val="Arial"/>
        <family val="2"/>
      </rPr>
      <t xml:space="preserve">Lower business registration fee (one year exemption of business registration tax for newly established household business; first 3-year exemption of business registration tax for SMEs); streamline tax and custom audit and inspection at firms; continued exemption of agricultural land use tax for households and farmers; corporate income tax relief for SMEs; and preferential tariffs on key items. 
</t>
    </r>
    <r>
      <rPr>
        <b/>
        <sz val="10"/>
        <color theme="1"/>
        <rFont val="Arial"/>
        <family val="2"/>
      </rPr>
      <t>Deferral of payments: I</t>
    </r>
    <r>
      <rPr>
        <sz val="10"/>
        <color theme="1"/>
        <rFont val="Arial"/>
        <family val="2"/>
      </rPr>
      <t xml:space="preserve">nclude VND 180 trillion (3 percent of GDP)  tax and land rental payment deferrals (for 5 months) to support affected entities; affected firms are allowed to defer their contribution (up to 12 months) to the pension fund with no interest penalty for late payment (additional 9.6 trillion VND or 0.2 percent of GDP out of the extra budgetary funds, and not state budget). </t>
    </r>
  </si>
  <si>
    <r>
      <rPr>
        <b/>
        <sz val="10"/>
        <color theme="1"/>
        <rFont val="Arial"/>
        <family val="2"/>
      </rPr>
      <t xml:space="preserve">Spending measures: </t>
    </r>
    <r>
      <rPr>
        <sz val="10"/>
        <color theme="1"/>
        <rFont val="Arial"/>
        <family val="2"/>
      </rPr>
      <t xml:space="preserve">
• Budget reallocation within the Ministry of Health budget for emergency spending to fight COVID19.</t>
    </r>
  </si>
  <si>
    <r>
      <rPr>
        <b/>
        <sz val="10"/>
        <color theme="1"/>
        <rFont val="Arial"/>
        <family val="2"/>
      </rPr>
      <t xml:space="preserve">Spending measures </t>
    </r>
    <r>
      <rPr>
        <sz val="10"/>
        <color theme="1"/>
        <rFont val="Arial"/>
        <family val="2"/>
      </rPr>
      <t xml:space="preserve">(€10-20bn or more depending on take up): 
</t>
    </r>
    <r>
      <rPr>
        <sz val="10"/>
        <color theme="1"/>
        <rFont val="Symbol"/>
        <family val="1"/>
        <charset val="2"/>
      </rPr>
      <t>·</t>
    </r>
    <r>
      <rPr>
        <sz val="10"/>
        <color theme="1"/>
        <rFont val="Arial"/>
        <family val="2"/>
      </rPr>
      <t xml:space="preserve"> Compensation of up to 90 percent of labor costs for companies expecting a reduction in revenues of 20 percent or more; compensation for affected sectors (for example, hospitality services and travel). 
</t>
    </r>
    <r>
      <rPr>
        <sz val="10"/>
        <color theme="1"/>
        <rFont val="Symbol"/>
        <family val="1"/>
        <charset val="2"/>
      </rPr>
      <t>·</t>
    </r>
    <r>
      <rPr>
        <sz val="10"/>
        <color theme="1"/>
        <rFont val="Arial"/>
        <family val="2"/>
      </rPr>
      <t xml:space="preserve"> Scaling up of the short-time working scheme (unemployment benefit compensation available to companies needing to reduce their staff by at least 20 percent). 
</t>
    </r>
    <r>
      <rPr>
        <sz val="10"/>
        <color theme="1"/>
        <rFont val="Symbol"/>
        <family val="1"/>
        <charset val="2"/>
      </rPr>
      <t>·</t>
    </r>
    <r>
      <rPr>
        <sz val="10"/>
        <color theme="1"/>
        <rFont val="Arial"/>
        <family val="2"/>
      </rPr>
      <t xml:space="preserve"> Income support for self-proprietorships and self-employed (administered at municipal level) for a period of three months through expedited procedures.
</t>
    </r>
    <r>
      <rPr>
        <b/>
        <sz val="10"/>
        <color theme="1"/>
        <rFont val="Arial"/>
        <family val="2"/>
      </rPr>
      <t xml:space="preserve">Deferral of payments </t>
    </r>
    <r>
      <rPr>
        <sz val="10"/>
        <color theme="1"/>
        <rFont val="Arial"/>
        <family val="2"/>
      </rPr>
      <t>(€35–45 bn): Companies can defer tax payments without penalties, and calculate provisional taxes on the basis of expected reduced activity levels.</t>
    </r>
  </si>
  <si>
    <r>
      <rPr>
        <b/>
        <sz val="10"/>
        <color theme="1"/>
        <rFont val="Arial"/>
        <family val="2"/>
      </rPr>
      <t>Spending measures</t>
    </r>
    <r>
      <rPr>
        <sz val="10"/>
        <color theme="1"/>
        <rFont val="Arial"/>
        <family val="2"/>
      </rPr>
      <t xml:space="preserve"> (0.1 percent of GDP): for healthcare and testing, protection and medical equipment, public safety and border controls, and research on the coronavirus epidemic, in particular to develop methods for rapid diagnostics and vaccines and timely decision-making. 
• Finland contributes €5 million to international efforts to develop a vaccine.</t>
    </r>
  </si>
  <si>
    <t>The Netherlands</t>
  </si>
  <si>
    <t>Online Annex Table 1.1. Selected Fiscal Measures in Response to COVID-19 Pandemic (as of April 8 2020)</t>
  </si>
  <si>
    <t>http://www.governo.it/it/articolo/comunicato-stampa-del-consiglio-dei-ministri-n-39/14417</t>
  </si>
  <si>
    <r>
      <rPr>
        <b/>
        <sz val="10"/>
        <rFont val="Arial"/>
        <family val="2"/>
      </rPr>
      <t xml:space="preserve">Spending measures </t>
    </r>
    <r>
      <rPr>
        <sz val="10"/>
        <rFont val="Arial"/>
        <family val="2"/>
      </rPr>
      <t>(ARS $290 bn):</t>
    </r>
    <r>
      <rPr>
        <b/>
        <sz val="10"/>
        <rFont val="Arial"/>
        <family val="2"/>
      </rPr>
      <t xml:space="preserve">
</t>
    </r>
    <r>
      <rPr>
        <sz val="10"/>
        <rFont val="Arial"/>
        <family val="2"/>
      </rPr>
      <t xml:space="preserve">• Support for workers and vulnerable groups, including through increased transfers to poor families, increased social security benefits (especially to low-income beneficiaries), higher unemployment insurance benefits, and payments to minimum-wage workers.
• Demand support, including spending on public works. </t>
    </r>
    <r>
      <rPr>
        <b/>
        <sz val="10"/>
        <rFont val="Arial"/>
        <family val="2"/>
      </rPr>
      <t xml:space="preserve">
Revenue measures </t>
    </r>
    <r>
      <rPr>
        <sz val="10"/>
        <rFont val="Arial"/>
        <family val="2"/>
      </rPr>
      <t xml:space="preserve">(AR$ 60bn):
• Support for hard-hit sectors, including an exemption from social security contributions. </t>
    </r>
    <r>
      <rPr>
        <b/>
        <sz val="10"/>
        <rFont val="Arial"/>
        <family val="2"/>
      </rPr>
      <t xml:space="preserve">
Deferral of payments: 
</t>
    </r>
    <r>
      <rPr>
        <sz val="10"/>
        <rFont val="Arial"/>
        <family val="2"/>
      </rPr>
      <t>• Extension of the grace period of repayment of loans granted by the Social Security to retirees and beneficiaries of non-contributory pensions.</t>
    </r>
  </si>
  <si>
    <t>https://www.gov.pl/web/tarczaantykryzysowa</t>
  </si>
  <si>
    <t>“Accelerated EU funds absorption; relaxed state aid rules (in line with EU approval)”</t>
  </si>
  <si>
    <r>
      <rPr>
        <b/>
        <sz val="10"/>
        <rFont val="Arial"/>
        <family val="2"/>
      </rPr>
      <t xml:space="preserve">Advance pay of liabilities:
</t>
    </r>
    <r>
      <rPr>
        <sz val="10"/>
        <rFont val="Symbol"/>
        <family val="1"/>
        <charset val="2"/>
      </rPr>
      <t>·</t>
    </r>
    <r>
      <rPr>
        <sz val="10"/>
        <rFont val="Arial"/>
        <family val="2"/>
      </rPr>
      <t xml:space="preserve"> Social pension and disability payments have been frontloaded by four months.
</t>
    </r>
    <r>
      <rPr>
        <sz val="10"/>
        <rFont val="Symbol"/>
        <family val="1"/>
        <charset val="2"/>
      </rPr>
      <t>·</t>
    </r>
    <r>
      <rPr>
        <sz val="7"/>
        <rFont val="Symbol"/>
        <family val="1"/>
        <charset val="2"/>
      </rPr>
      <t xml:space="preserve"> </t>
    </r>
    <r>
      <rPr>
        <sz val="10"/>
        <rFont val="Arial"/>
        <family val="2"/>
      </rPr>
      <t>Procurement processes and VAT refunds are to be accelerated.</t>
    </r>
  </si>
  <si>
    <t>-	The government boosted special financing and guarantees primarily for micro, small and medium-sized business operators affected by COVID-19 through the Japan Finance Corporation and other institutions. (JPY 45 trillion)
-	Other off-budget operations using the Development Bank of Japan and other agencies (primarily for infrastructure projects in the post-containment phase) (JPY 8 trillion)</t>
  </si>
  <si>
    <t>-	Guarantees on bonds/borrowing by the Development Bank of Japan and the Japan Finance Corporation (JPY 1 trillion)
-	Guarantees on external bonds issued by the Development Bank of Japan and Japan Bank for International Cooperation (JPY 1 trillion)</t>
  </si>
  <si>
    <r>
      <rPr>
        <b/>
        <sz val="10"/>
        <color theme="1"/>
        <rFont val="Arial"/>
        <family val="2"/>
      </rPr>
      <t>Spending measures:</t>
    </r>
    <r>
      <rPr>
        <sz val="10"/>
        <color theme="1"/>
        <rFont val="Arial"/>
        <family val="2"/>
      </rPr>
      <t xml:space="preserve">
- Cash handout to affected households (JPY 300,000 per eligible household) (JPY 4.0 trillion).
- Lump-sum transfer to affected firms (JPY 2 million per firm for SMEs, JPY 1 million for the self-employed) (JPY 2.3 trillion).
- Subsidies for public/private financial institutions' lending (JPY 3.8 trillion)
- Measures to accelerate recovery and rebuild resilient economic structure such as incentive measures for consumption in affected service sectors and infrastructure investments (in the post-containment phase) (JPY 10.8 trillion). 
</t>
    </r>
    <r>
      <rPr>
        <b/>
        <sz val="10"/>
        <color theme="1"/>
        <rFont val="Arial"/>
        <family val="2"/>
      </rPr>
      <t>Revenue measures:</t>
    </r>
    <r>
      <rPr>
        <sz val="10"/>
        <color theme="1"/>
        <rFont val="Arial"/>
        <family val="2"/>
      </rPr>
      <t xml:space="preserve">
- Reduction of property tax, expansion of the loss carry-back program, etc.
</t>
    </r>
    <r>
      <rPr>
        <b/>
        <sz val="10"/>
        <color theme="1"/>
        <rFont val="Arial"/>
        <family val="2"/>
      </rPr>
      <t>Deferral of payment:</t>
    </r>
    <r>
      <rPr>
        <sz val="10"/>
        <color theme="1"/>
        <rFont val="Arial"/>
        <family val="2"/>
      </rPr>
      <t xml:space="preserve">
- Deferral of payment of taxes and social security premiums by affected firms and households for one year.</t>
    </r>
  </si>
  <si>
    <t xml:space="preserve">3/ The December 2019 fiscal package was subsumed in the new April 2020 fiscal package in response to the pandemic.
</t>
  </si>
  <si>
    <t>Total size
 /1 /2</t>
  </si>
  <si>
    <t>Total size /2</t>
  </si>
  <si>
    <t>Total size 
/2</t>
  </si>
  <si>
    <t>LC bn /3</t>
  </si>
  <si>
    <t>USD bn /4</t>
  </si>
  <si>
    <t xml:space="preserve">4/ For Argentina, USD numbers refer to end-March 2020 exchange rate. </t>
  </si>
  <si>
    <t>2/ Excludes state government measures in federations.</t>
  </si>
  <si>
    <t>1/ Excludes deferral of payments (such as taxes or social security contributions) to the government and advance pay of liabilities (such as pensions or other benefits) by the government to the extent possible and depending on the availability of information.</t>
  </si>
  <si>
    <r>
      <rPr>
        <b/>
        <sz val="10"/>
        <color theme="1"/>
        <rFont val="Arial"/>
        <family val="2"/>
      </rPr>
      <t xml:space="preserve">Spending measures (€5.5 bn): </t>
    </r>
    <r>
      <rPr>
        <sz val="10"/>
        <color theme="1"/>
        <rFont val="Arial"/>
        <family val="2"/>
      </rPr>
      <t>Support for streamlining and boosting health insurance for the sick or their caregivers, and higher spending on health supplies .</t>
    </r>
  </si>
  <si>
    <r>
      <rPr>
        <b/>
        <sz val="10"/>
        <rFont val="Arial"/>
        <family val="2"/>
      </rPr>
      <t xml:space="preserve">Spending measures (€11 bn): </t>
    </r>
    <r>
      <rPr>
        <sz val="10"/>
        <rFont val="Arial"/>
        <family val="2"/>
      </rPr>
      <t xml:space="preserve">Subsidies for wages of workers under the reduced-hour scheme  and direct financial support to affected SMEs and independent workers. 
</t>
    </r>
    <r>
      <rPr>
        <b/>
        <sz val="10"/>
        <rFont val="Arial"/>
        <family val="2"/>
      </rPr>
      <t xml:space="preserve">
Deferral of payments/advance pay of liabilities (€48.5 bn):</t>
    </r>
    <r>
      <rPr>
        <sz val="10"/>
        <rFont val="Arial"/>
        <family val="2"/>
      </rPr>
      <t xml:space="preserve">
• Liquidity support through postponement of social security contributions and tax payment for companies, and rent and utility payments for affected SMEs.
• Accelerated refund of tax credits (e.g. CIT and VAT). </t>
    </r>
  </si>
  <si>
    <r>
      <rPr>
        <b/>
        <sz val="10"/>
        <color theme="1"/>
        <rFont val="Arial"/>
        <family val="2"/>
      </rPr>
      <t>Spending measures (Rs 0.15 tn):</t>
    </r>
    <r>
      <rPr>
        <sz val="10"/>
        <color theme="1"/>
        <rFont val="Arial"/>
        <family val="2"/>
      </rPr>
      <t xml:space="preserve">
• Additional spending on health infrastructure, including for COVID-19 testing facilities, personal protective equipment, isolation beds, ICU beds, and ventilators.</t>
    </r>
  </si>
  <si>
    <r>
      <rPr>
        <b/>
        <sz val="10"/>
        <rFont val="Arial"/>
        <family val="2"/>
      </rPr>
      <t xml:space="preserve">Spending measures (Rs 1.42 tn):
</t>
    </r>
    <r>
      <rPr>
        <sz val="10"/>
        <rFont val="Arial"/>
        <family val="2"/>
      </rPr>
      <t xml:space="preserve">• The central government has announced a package that provides insurance coverage for workers in the healthcare sector, substantial in-kind (food; cooking gas) and cash transfers, as well as wage support to poor households (in some cases for those still working, and in other cases by easing the criteria for receiving benefits in the event of job loss). These measures sum to about 0.6 percent of GDP, per IMF staff estimates. Increases in fuel excise taxes announced in early March (0.2 percent of GDP) will partly finance these measures. 
• The state of Kerala has announced a package (0.1 percent of national GDP), including Rs 110bn of arrears paid, Rs 14bn advanced pensions, Rs 20bn loans to women, Rs 20bn front-loaded rural jobs, 2 times Rs 1000 per month to 10mn poor without pensions. Numerous other states have also announced stimulus packages, mainly in the form of cash- and in-kind transfers to poor households (cumulatively about 0.1 percent of national GDP).
• The central government has directed states to make allocations to low-wage construction workers from an existing pool of resources (0.2 percent of GDP). 
</t>
    </r>
    <r>
      <rPr>
        <b/>
        <sz val="10"/>
        <rFont val="Arial"/>
        <family val="2"/>
      </rPr>
      <t xml:space="preserve">
Deferral of payments: 
</t>
    </r>
    <r>
      <rPr>
        <sz val="10"/>
        <rFont val="Arial"/>
        <family val="2"/>
      </rPr>
      <t>• Extension of income tax filing deadline (3 months); reduction of penalty for late payments; date for filing fiscal year 18/19 GST tax liability extended (3 months); other miscellaneous relaxation of tax regulatory/administrative requirements.</t>
    </r>
  </si>
  <si>
    <t>Above-the line measures</t>
  </si>
  <si>
    <t>Below the line measures</t>
  </si>
  <si>
    <t>Equity injections, asset purchases, loans, debt assumptions, quasi-fiscal operations, use of extra-budgetary funds</t>
  </si>
  <si>
    <t>Guarantees on loans and 
other contingent liabilities</t>
  </si>
  <si>
    <t>Contingent liabilities</t>
  </si>
  <si>
    <t>• Under a Coronavirus SME Guarantee Scheme, government to guarantee 50 percent of loans (up to AUS $40 bn) offered by local lenders to SMEs.</t>
  </si>
  <si>
    <t>$100 million to support federal public health measures such as enhanced surveillance, increased testing at the National Microbiology Laboratory. The package includes $275 million for additional research such as vaccine development, $200 million for federal medical supplies, and support for Indigenous communities and education efforts.
$500 million to provinces and territories for critical health care system needs and to support mitigation efforts, including access to testing, equipment and to enhance surveillance and monitoring. 
$50 million for Public Health Agency of Canada's COVID-19 communications and public education efforts.
$2 bn to support diagnostic testing and to purchase ventilators and protective personal equipment, including for bulk purchases with provinces and territories. Personal protective equipment includes things like more masks and face shields, gowns, and hand sanitizer.
$50 million has been made available in funding for members of the Next Generation Manufacturing Supercluster to develop and scale-up new, in-demand technologies, equipment, and medical products.</t>
  </si>
  <si>
    <t>Liquidity support through postponement of social security contributions and tax payment for companies (€33.5 bn).</t>
  </si>
  <si>
    <t>• SME loans subject to moratorium (€70 bn). The guarantee covers up to 30% of the value.
• Enhancement of the SME Guarantee Fund from €40 bn to over €100 bn.
• State guarantee of €0.5 bn to the state development bank—Cassa Deposit e Prestiti—to support lending and liquidity to banks to enable them to finance medium to large enterprises.
• All business, the guarantee (€200) will cover between 70% and 90% of the amount financed.
• Co-insurance scheme for exporters (€200).</t>
  </si>
  <si>
    <t>Other measures to support businesses, including tax deferrals and postponement of utility bill payments in most affected municipalities (€6.4 bn), a moratorium on loan repayments for households and SMEs, including on mortgages and overdrafts (€220 bn), incentives for financial and non-financial companies in the form of Deferred Tax Activities</t>
  </si>
  <si>
    <r>
      <rPr>
        <b/>
        <sz val="10"/>
        <color theme="1"/>
        <rFont val="Arial"/>
        <family val="2"/>
      </rPr>
      <t>Spending measures</t>
    </r>
    <r>
      <rPr>
        <sz val="10"/>
        <color theme="1"/>
        <rFont val="Arial"/>
        <family val="2"/>
      </rPr>
      <t xml:space="preserve"> (€3.9 bn):
• Budget support from the contingency fund to the Ministry of Health (€1 bn); advance transfer to the regions for the regional health services (€2.8 bn); additional funding for research related to the development of drugs and vaccines (€0.1 bn).
• An emergency management process for the procurement of all goods and services needed by the public sector to implement any measure to address the pandemic.</t>
    </r>
  </si>
  <si>
    <r>
      <rPr>
        <b/>
        <sz val="10"/>
        <color theme="1"/>
        <rFont val="Arial"/>
        <family val="2"/>
      </rPr>
      <t>Spending measures</t>
    </r>
    <r>
      <rPr>
        <sz val="10"/>
        <color theme="1"/>
        <rFont val="Arial"/>
        <family val="2"/>
      </rPr>
      <t xml:space="preserve"> (€10 bn depending on the usage and duration of the measures and could be higher):
· Entitlement of unemployment benefit for workers temporarily laid off under the Temporary Employment Adjustment Schemes owing to the pandemic, with no requirement for prior minimum contribution or reduction of accumulated entitlement. 
· Increased sick pay for COVID-19 infected workers or those quarantined, from 60 to 75 percent of the regulatory base, paid by the Social Security budget; allowance for self-employed workers affected.
· A temporary subsidy for affected household employees and for temporary workers whose contract expires during the state of emergency and are not entitled to collect unemployment benefits; and additional provision of assistance to dependents. 
· Transfer to autonomous communities funding meals for children affected by the school closure; new rental assistance programs for certain vulnerable renters; and extension of the social benefit for energy provision.
</t>
    </r>
    <r>
      <rPr>
        <b/>
        <sz val="10"/>
        <color theme="1"/>
        <rFont val="Arial"/>
        <family val="2"/>
      </rPr>
      <t xml:space="preserve">Revenue measures: 
</t>
    </r>
    <r>
      <rPr>
        <sz val="10"/>
        <color theme="1"/>
        <rFont val="Arial"/>
        <family val="2"/>
      </rPr>
      <t xml:space="preserve">• Exemptions of social contributions for affected companies that maintain employment, and a 50 percent exemption from employer’s social security contributions for workers with permanent discontinuous contracts in the tourism sector and related activities (from February to June 2020). 
• A 6-month suspension of social security contributions for the self-employed (for April-June), subject to a condition of continued activity in May and June; and more flexibility for workers to access savings from their pension plans.
</t>
    </r>
    <r>
      <rPr>
        <b/>
        <sz val="10"/>
        <color theme="1"/>
        <rFont val="Arial"/>
        <family val="2"/>
      </rPr>
      <t xml:space="preserve">Deferral of payments </t>
    </r>
    <r>
      <rPr>
        <sz val="10"/>
        <color theme="1"/>
        <rFont val="Arial"/>
        <family val="2"/>
      </rPr>
      <t>of taxes for small and medium enterprises and self-employed for six months (€14 bn).</t>
    </r>
  </si>
  <si>
    <t>• Additional funding for the Instituto de Crédito Official (ICO) credit lines (€10 bn)</t>
  </si>
  <si>
    <t>• The government has approved a line of public guarantees and guarantees worth up to €100 bn. An additional guarantees of €2 bn for exporters through the Spanish Export Insurance Credit Company; some guarantees for loan maturity extensions to farmers using the special 2017 drought credit lines.</t>
  </si>
  <si>
    <r>
      <rPr>
        <b/>
        <sz val="10"/>
        <color theme="1"/>
        <rFont val="Arial"/>
        <family val="2"/>
      </rPr>
      <t xml:space="preserve">Spending measures: 
</t>
    </r>
    <r>
      <rPr>
        <sz val="10"/>
        <color theme="1"/>
        <rFont val="Arial"/>
        <family val="2"/>
      </rPr>
      <t xml:space="preserve">• Families First Coronavirus Response Act (March 16, 2020) includes an estimated $83.3 bn for 2 weeks paid sick leave, up to 3 months emergency leave for those infected (at 2/3 pay), food assistance, free virus testing; and federal transfers to states for Medicaid (increased by 6.2% during emergency period); and $1 bn in expanded unemployment insurance.
• Coronavirus Aid, Relief, and Economic Security Act (March 27, 2020) includes extended unemployment insurance payments ($250 bn); transfers to state and local governments ($150 bn), food assistance ($24 bn), education funding ($30 bn), transit funding ($25 bn).
</t>
    </r>
    <r>
      <rPr>
        <b/>
        <sz val="10"/>
        <color theme="1"/>
        <rFont val="Arial"/>
        <family val="2"/>
      </rPr>
      <t xml:space="preserve">Revenue measures: </t>
    </r>
    <r>
      <rPr>
        <sz val="10"/>
        <color theme="1"/>
        <rFont val="Arial"/>
        <family val="2"/>
      </rPr>
      <t xml:space="preserve">
• Tax rebates ($250 bn) of $1,200 for singles/$2,400 for married couples filing jointly and $500 per qualifying child, employee retention tax credit ($50 bn).
</t>
    </r>
    <r>
      <rPr>
        <b/>
        <sz val="10"/>
        <color theme="1"/>
        <rFont val="Arial"/>
        <family val="2"/>
      </rPr>
      <t xml:space="preserve">Deferral of payments: </t>
    </r>
    <r>
      <rPr>
        <sz val="10"/>
        <color theme="1"/>
        <rFont val="Arial"/>
        <family val="2"/>
      </rPr>
      <t xml:space="preserve">
• IRS extended income tax filing deadline by 90 days; employers' payroll taxes are delayed to 2021 and 2022. </t>
    </r>
  </si>
  <si>
    <t>• Coronavirus Aid, Relief, and Economic Security Act (March 27, 2020) includes $510 bn in loans and loan guarantees for large businesses, $349 bn in loans for small businesses.</t>
  </si>
  <si>
    <t>• Small- and medium-scale enterprises (SMEs) could receive up to 25 bn pesos (0.1 percent of GDP) in loans.
• Development banks could provide liquidity support of about 0.2 percent of GDP</t>
  </si>
  <si>
    <r>
      <rPr>
        <b/>
        <sz val="10"/>
        <color theme="1"/>
        <rFont val="Arial"/>
        <family val="2"/>
      </rPr>
      <t>Spending measures</t>
    </r>
    <r>
      <rPr>
        <sz val="10"/>
        <color theme="1"/>
        <rFont val="Arial"/>
        <family val="2"/>
      </rPr>
      <t>: Set-up a Health Emergency Fund to request additional resources from Congress, that could reach up to 180 bn pesos (0.7 percent of 2019 GDP).</t>
    </r>
  </si>
  <si>
    <t>• Subsidized and guaranteed loans for SMEs, retailers, and distributors. 
• Government loans to assist debt restructuring by regions (RUB 70 bn). 
• Recapitalization of leasing firms due to potential problems of their clients in the transportation sector. 
• The Central Bank of Russia (CBR) has put in place, a new lending facility with a refinancing limit of 500 bn rubles, with a view to shoring up SME lending. Up to 150 bn rubles will be allocated to support bank lending to SMEs to ensure the uninterrupted fulfillment of their obligation to pay wages to their staff.</t>
  </si>
  <si>
    <r>
      <rPr>
        <b/>
        <sz val="10"/>
        <color theme="1"/>
        <rFont val="Arial"/>
        <family val="2"/>
      </rPr>
      <t>Spending reallocation</t>
    </r>
    <r>
      <rPr>
        <sz val="10"/>
        <color theme="1"/>
        <rFont val="Arial"/>
        <family val="2"/>
      </rPr>
      <t xml:space="preserve"> from lower priority areas (SAR 50 bn, 1.9 percent of GDP)
</t>
    </r>
    <r>
      <rPr>
        <b/>
        <sz val="10"/>
        <color theme="1"/>
        <rFont val="Arial"/>
        <family val="2"/>
      </rPr>
      <t xml:space="preserve">Deferral of payments:
</t>
    </r>
    <r>
      <rPr>
        <sz val="10"/>
        <color theme="1"/>
        <rFont val="Arial"/>
        <family val="2"/>
      </rPr>
      <t>• SAR 48bn for deferred declaration &amp; payment of taxes for 3 months, waiver of customs duties (30 days to 3 months), waiver of expat fees for 3 months; and  waiver of municipal fees on companies for 3 months.</t>
    </r>
  </si>
  <si>
    <t>• Liquidity support provided by the National Development Funds (NDF): SAR 22 bn (0.85 percent of GDP) distributed as follows:
(i) loan rescheduling/restructuring and different loan programs to SMEs: SAR13 bn (0.5 percent of GDP).
(ii) support to employment programs in the private sector: SAR 5 bn (0.2 percent of GDP).
(iii) social loans to families with low incomes: SAR4 bn (0.15 percent of GDP).</t>
  </si>
  <si>
    <t>• South Africa’s extra-budgetary Unemployment Insurance Fund made R30 bn available to support unemployed workers. The money will compensate workers for layoffs of as long as three months if companies are struggling to stay profitable.
•  A Solidarity Fund, with an initial government transfer of R150 million. Most of the funds are expected to come from private donations.
• Industrial funding package to fast-track financing for companies including those that are critical in the fight against Covid-19 provided by the Industrial Development Corporation (IDC).</t>
  </si>
  <si>
    <t xml:space="preserve">• Doubling the size of the credit guarantee fund from TL25 to TL50 bn. </t>
  </si>
  <si>
    <t>The State Pension Fund will invest in commercial paper (€1 bn).</t>
  </si>
  <si>
    <t xml:space="preserve">Finland’s Export Credit Agency expands its lending and guarantee capacity to SMEs by €10 bn and the government will increase its coverage of the agency’s credit and guarantee losses from 50 to 80 percent. State guarantee for Finnair (€ 0.6 bn). </t>
  </si>
  <si>
    <r>
      <rPr>
        <b/>
        <sz val="10"/>
        <color theme="1"/>
        <rFont val="Arial"/>
        <family val="2"/>
      </rPr>
      <t>Spending measures</t>
    </r>
    <r>
      <rPr>
        <sz val="10"/>
        <color theme="1"/>
        <rFont val="Arial"/>
        <family val="2"/>
      </rPr>
      <t xml:space="preserve"> (1.1 percent of GDP): Increase in Business Finland grant authorization for SMEs. Unemployment insurance is expanded by €2.4 bn. 
</t>
    </r>
    <r>
      <rPr>
        <b/>
        <sz val="10"/>
        <color theme="1"/>
        <rFont val="Arial"/>
        <family val="2"/>
      </rPr>
      <t>Revenue measures</t>
    </r>
    <r>
      <rPr>
        <sz val="10"/>
        <color theme="1"/>
        <rFont val="Arial"/>
        <family val="2"/>
      </rPr>
      <t xml:space="preserve"> (0.4 percent of GDP): Reduce pension contributions through the remainder of 2020 (€900 million). 
Deferral of payments: Deferral of tax and pension payments for 3 months are expected to provide additional short-run relief of €4.5 bn.</t>
    </r>
  </si>
  <si>
    <t>Deferral of tax and pension payments for 3 months are expected to provide additional short-run relief of €3-4.5 bn. Automatic stabilizers are expected to increase the fiscal deficit significantly, including through an expansion of the coverage of existing unemployment benefits. </t>
  </si>
  <si>
    <t xml:space="preserve">Short-run relief of €3-4.5 bn (1.9 percent of GDP). </t>
  </si>
  <si>
    <t xml:space="preserve">The reinstatement of a government fund that buys bonds issued by Norwegian companies to increase liquidity and access to capital in the Norwegian bond market, with a ceiling of NOK 50 bn. </t>
  </si>
  <si>
    <t xml:space="preserve">Establish a government guarantee scheme for bank loans to SMEs, with a ceiling of NOK 50 bn. </t>
  </si>
  <si>
    <r>
      <rPr>
        <b/>
        <sz val="10"/>
        <color theme="1"/>
        <rFont val="Arial"/>
        <family val="2"/>
      </rPr>
      <t xml:space="preserve">Spending measures. </t>
    </r>
    <r>
      <rPr>
        <sz val="10"/>
        <color theme="1"/>
        <rFont val="Arial"/>
        <family val="2"/>
      </rPr>
      <t xml:space="preserve">
· The Care and Support Package provides support to households (S$1.6 bn), including through a cash payout and an additional goods and services tax (GST) voucher. 
· The Stabilization and Support Package provides support to businesses (S$4.0 bn), including wage subsidies as well as additional support for industries directly affected and self-employed persons.
</t>
    </r>
    <r>
      <rPr>
        <b/>
        <sz val="10"/>
        <color theme="1"/>
        <rFont val="Arial"/>
        <family val="2"/>
      </rPr>
      <t>Revenue measures</t>
    </r>
    <r>
      <rPr>
        <sz val="10"/>
        <color theme="1"/>
        <rFont val="Arial"/>
        <family val="2"/>
      </rPr>
      <t xml:space="preserve">: Corporate income tax rebate and property tax rebates; carry-back provisions for qualifying deductions and faster write-downs for qualifying investments. </t>
    </r>
  </si>
  <si>
    <t>Setting aside loan capital of S$20 bn.</t>
  </si>
  <si>
    <t xml:space="preserve">Additional funding for health sector in the amount of Lk 3.5 bn, including some allocation to the Reserve Fund. </t>
  </si>
  <si>
    <r>
      <rPr>
        <b/>
        <sz val="10"/>
        <color theme="1"/>
        <rFont val="Arial"/>
        <family val="2"/>
      </rPr>
      <t>Spending measures</t>
    </r>
    <r>
      <rPr>
        <sz val="10"/>
        <color theme="1"/>
        <rFont val="Arial"/>
        <family val="2"/>
      </rPr>
      <t xml:space="preserve"> (BGN 1.4 bn): Measures to cover 60 percent of the wages for employees in affected sectors that would have been otherwise laid off. 
</t>
    </r>
    <r>
      <rPr>
        <b/>
        <sz val="10"/>
        <color theme="1"/>
        <rFont val="Arial"/>
        <family val="2"/>
      </rPr>
      <t>Deferral of payments</t>
    </r>
    <r>
      <rPr>
        <sz val="10"/>
        <color theme="1"/>
        <rFont val="Arial"/>
        <family val="2"/>
      </rPr>
      <t xml:space="preserve"> (BGN 0.6 bn). Deferral of corporate taxes until June 30. </t>
    </r>
  </si>
  <si>
    <t>· BGN 0.5 bn to the Bulgarian Development Bank for guarantees before the commercial banks to extend loans to firms.
· BGN 0.2 bn to the development bank for interest-free loans to employees in non-paid leave up to BGN 1500.</t>
  </si>
  <si>
    <r>
      <rPr>
        <b/>
        <sz val="10"/>
        <color theme="1"/>
        <rFont val="Arial"/>
        <family val="2"/>
      </rPr>
      <t xml:space="preserve">Spending measures </t>
    </r>
    <r>
      <rPr>
        <sz val="10"/>
        <color theme="1"/>
        <rFont val="Arial"/>
        <family val="2"/>
      </rPr>
      <t xml:space="preserve">(1,000bn or 0.7 percent of GDP): Financing of additional healthcare equipment, instruments, laboratories, contracting of emergency personnel and extension of working hours, etc. </t>
    </r>
  </si>
  <si>
    <r>
      <rPr>
        <b/>
        <sz val="10"/>
        <color theme="1"/>
        <rFont val="Arial"/>
        <family val="2"/>
      </rPr>
      <t>Spending measures</t>
    </r>
    <r>
      <rPr>
        <sz val="10"/>
        <color theme="1"/>
        <rFont val="Arial"/>
        <family val="2"/>
      </rPr>
      <t xml:space="preserve"> (0.1 percent of GDP): Includes additional fiscal support and cash transfers for most vulnerable.
</t>
    </r>
    <r>
      <rPr>
        <b/>
        <sz val="10"/>
        <color theme="1"/>
        <rFont val="Arial"/>
        <family val="2"/>
      </rPr>
      <t>Revenue measures</t>
    </r>
    <r>
      <rPr>
        <sz val="10"/>
        <color theme="1"/>
        <rFont val="Arial"/>
        <family val="2"/>
      </rPr>
      <t xml:space="preserve"> (1.1 percent of GDP): Suspension of monthly provisional payments of corporate income tax for the next 3 months (allow liquidity of up to US $ 2.4 bn); reduction of the Stamp and Seals tax. 
</t>
    </r>
    <r>
      <rPr>
        <b/>
        <sz val="10"/>
        <color theme="1"/>
        <rFont val="Arial"/>
        <family val="2"/>
      </rPr>
      <t>Deferral of payments and advanced pay of liabilities</t>
    </r>
    <r>
      <rPr>
        <sz val="10"/>
        <color theme="1"/>
        <rFont val="Arial"/>
        <family val="2"/>
      </rPr>
      <t xml:space="preserve"> (1.8 percent of GDP): postponement of VAT payment for the next 3 months for all companies with sales below 350,000, and allow monthly instalments at zero real interest rates (a liquidity of 1.5 bn). Early tax refunds of SMEs, postponement of tax payment until July 2020.</t>
    </r>
  </si>
  <si>
    <t>(Total US$6.7 bn) Suspension of monthly provisional payments of corporate income tax for the next 3 months (allow liquidity of up to US $ 2.4 bn); postponement of VAT payment for the next 3 months for all companies with sales below 350,000, and allow monthly instalments at zero real interest rates (a liquidity of 1.5 bn). Tax refunds of SMEs, postponement of tax payment until July 2020.</t>
  </si>
  <si>
    <t xml:space="preserve">
• Bancoldex (Colombian Development Bank) launched a special line of credit for COP250 bn for the tourism and transport sectors
· Access to oil stabilization and pension funds in case of emergency.
• Capitalization of the National Guarantee Fund to leverage loans to SMEs (COP 70 bn)</t>
  </si>
  <si>
    <t>EGP 3.8 bn</t>
  </si>
  <si>
    <t>· The government provides urgent and necessary medical supplies and disburses bonus for medical staff working in quarantine hospitals and labs (EGP 3.8 bn). 
· State-paid healthcare workers will receive a 75 percent allowance on top of their wages.</t>
  </si>
  <si>
    <t>· Stock-purchase by the central bank (EGP 20bn). 
·  Funds for tourism sector bailouts of EGP 50 bn announced. Various loan subsidies to tourism, industry, agriculture and housing: The preferential interest rate on loans to SMEs, industry, tourism, agriculture and housing for low-income and middle-class families has been reduced from 10 percent to 8 percent. 
· A new debt relief initiative for individuals at risk of default was announced, that will waive marginal interest on debt under EGP 1 million if customers make a 50 percent payment.</t>
  </si>
  <si>
    <r>
      <rPr>
        <b/>
        <sz val="10"/>
        <color theme="1"/>
        <rFont val="Arial"/>
        <family val="2"/>
      </rPr>
      <t xml:space="preserve">Spending measures: </t>
    </r>
    <r>
      <rPr>
        <sz val="10"/>
        <color theme="1"/>
        <rFont val="Arial"/>
        <family val="2"/>
      </rPr>
      <t xml:space="preserve">
· Industrial companies have received subsidies on lower energy costs and subsidy pay-out for exporters.
· Pensions have been increased by 14 percent; subsidy pay-out for exporters has been stepped up. EGP 50 bn has been announced for the tourism sector support. Targeted EGP 50 million support for irregular workers in most severely hit sectors. Around 80-100k families will be added to Takaful and Karama benefit programs at a cost of about EGP 800 million.
</t>
    </r>
    <r>
      <rPr>
        <b/>
        <sz val="10"/>
        <color theme="1"/>
        <rFont val="Arial"/>
        <family val="2"/>
      </rPr>
      <t xml:space="preserve">Revenue measures. 
</t>
    </r>
    <r>
      <rPr>
        <sz val="10"/>
        <color theme="1"/>
        <rFont val="Arial"/>
        <family val="2"/>
      </rPr>
      <t>· Temporary real estate tax relief has been provided for industrial and tourism sectors; the moratorium on the tax law on agricultural land has been extended for 2 years; a 6-month grace period for SMEs to pay insurance premiums.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</si>
  <si>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t>Subsidized lending will be provided under the state program (“Economy of Simple Things”, KZT 1 trillion), along with actions to help small and medium-sized enterprises (SMEs) finance their working capital (KZT 600 bn).</t>
  </si>
  <si>
    <t>Increase general public health spending (0.2 bn).</t>
  </si>
  <si>
    <t xml:space="preserve">The State Investment Corporation will raise Rs 2.7 bn (0.5 percent of GDP) to make equity investments in troubled firms. The Development bank will give Rs 0.2 bn (0.04 percent of GDP) in credit for firms short on cash. </t>
  </si>
  <si>
    <t>PLN 8 bn</t>
  </si>
  <si>
    <t>58 bn</t>
  </si>
  <si>
    <r>
      <rPr>
        <b/>
        <sz val="10"/>
        <color theme="1"/>
        <rFont val="Arial"/>
        <family val="2"/>
      </rPr>
      <t>Spending measures</t>
    </r>
    <r>
      <rPr>
        <sz val="10"/>
        <color theme="1"/>
        <rFont val="Arial"/>
        <family val="2"/>
      </rPr>
      <t xml:space="preserve"> (58 bn or 2.6 percent of GDP): Wage subsidies for employees of affected businesses up to 40 percent of average wages; care allowance for children owing to school closures; monthly benefit for self-employed individuals; establishing a public infrastructure investment fund.
</t>
    </r>
    <r>
      <rPr>
        <b/>
        <sz val="10"/>
        <color theme="1"/>
        <rFont val="Arial"/>
        <family val="2"/>
      </rPr>
      <t xml:space="preserve">Deferral of payments: </t>
    </r>
    <r>
      <rPr>
        <sz val="10"/>
        <color theme="1"/>
        <rFont val="Arial"/>
        <family val="2"/>
      </rPr>
      <t>Taxpayers can apply for deferral, payment in installments, or cancellation of tax payments/social security contributions. Deduction of 2020 tax losses for 2021 tax settlement.</t>
    </r>
  </si>
  <si>
    <r>
      <rPr>
        <b/>
        <sz val="10"/>
        <color theme="1"/>
        <rFont val="Arial"/>
        <family val="2"/>
      </rPr>
      <t>Spending measures</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Revenue measures: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</si>
  <si>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t>An additional Taka 2.5 bn was allocated to the Health Services Division, Ministry of Health &amp; Family Welfare for pandemic preparedness and response plan. The National Board of Revenue has suspended temporarily duties and taxes on imports of medical supplies, including protective equipment and test kits.</t>
  </si>
  <si>
    <t xml:space="preserve">The government planned to extend soft loans (TK 50 bn). </t>
  </si>
  <si>
    <t>A total of N7.5 bn was allocated for health sector, including contingency funds released to Nigeria’s Center for Disease Control for more testing kits and opening more centers and train medical personnel.</t>
  </si>
  <si>
    <t>A strategic plan to fight against COVID-19 is being implemented to i) enhance testing and treatment capacity, ii) strengthen preventive measures, and iii) intensify communication. The authorities' action plan includes measures in the health sector of 73 bn (0.50% of GDP).</t>
  </si>
  <si>
    <r>
      <rPr>
        <b/>
        <sz val="10"/>
        <color theme="1"/>
        <rFont val="Arial"/>
        <family val="2"/>
      </rPr>
      <t>Spending measures:</t>
    </r>
    <r>
      <rPr>
        <sz val="10"/>
        <color theme="1"/>
        <rFont val="Arial"/>
        <family val="2"/>
      </rPr>
      <t xml:space="preserve"> Additional allocation of 121 bn (0.83% of GDP) on social safety net programs to include: urgent food aid, cash transfers to vulnerable households, and subsidies to help most vulnerable to help pay utility bills (water, electricity). In addition, an amount of 100 bn (0.69% of GDP) will be allocated to other economic support measures, such as direct support to heavily hit sectors, and 252 bn (1.74% of GDP) for repayment of outstanding arrears to the private sector. 
</t>
    </r>
    <r>
      <rPr>
        <b/>
        <sz val="10"/>
        <color theme="1"/>
        <rFont val="Arial"/>
        <family val="2"/>
      </rPr>
      <t>Revenue measures</t>
    </r>
    <r>
      <rPr>
        <sz val="10"/>
        <color theme="1"/>
        <rFont val="Arial"/>
        <family val="2"/>
      </rPr>
      <t>: The government intends to adopt tax measures, providing some general tax relief, with partial forgiveness of outstanding taxes (200 bn, 1.4% of GDP), and targeted support to the most affected sectors (hotels, restaurants, transport and culture), including VAT suspension (15 bn, 0.1% of GDP).</t>
    </r>
  </si>
  <si>
    <r>
      <rPr>
        <b/>
        <sz val="10"/>
        <color theme="1"/>
        <rFont val="Arial"/>
        <family val="2"/>
      </rPr>
      <t xml:space="preserve">Spending measures (€0.05 bn): </t>
    </r>
    <r>
      <rPr>
        <sz val="10"/>
        <color theme="1"/>
        <rFont val="Arial"/>
        <family val="2"/>
      </rPr>
      <t>The European Commission redirected funding of €47.5 million towards research on COVID-19 vaccine development, treatment, and diagnostics.</t>
    </r>
  </si>
  <si>
    <r>
      <rPr>
        <b/>
        <sz val="10"/>
        <color theme="1"/>
        <rFont val="Arial"/>
        <family val="2"/>
      </rPr>
      <t xml:space="preserve">Spending measures (€37 bn): </t>
    </r>
    <r>
      <rPr>
        <sz val="10"/>
        <color theme="1"/>
        <rFont val="Arial"/>
        <family val="2"/>
      </rPr>
      <t xml:space="preserve">
• The European Commission announced that the size of the Corona Response Investment Initiative will be raised to €37 bn, to support public investment for hospitals, labor markets, and stressed regions</t>
    </r>
    <r>
      <rPr>
        <sz val="10"/>
        <color rgb="FFFF0000"/>
        <rFont val="Arial"/>
        <family val="2"/>
      </rPr>
      <t>.</t>
    </r>
    <r>
      <rPr>
        <sz val="10"/>
        <color theme="1"/>
        <rFont val="Arial"/>
        <family val="2"/>
      </rPr>
      <t xml:space="preserve">
• The Commission proposed to extend the scope of the EU Solidarity Fund by also including a public health crisis within its scope, in view of mobilizing it if needed for the hardest hit EU member states. Up to €0.8 bn is available in 2020. </t>
    </r>
  </si>
  <si>
    <r>
      <rPr>
        <b/>
        <sz val="10"/>
        <color theme="1"/>
        <rFont val="Arial"/>
        <family val="2"/>
      </rPr>
      <t>Spending measures:</t>
    </r>
    <r>
      <rPr>
        <sz val="10"/>
        <color theme="1"/>
        <rFont val="Arial"/>
        <family val="2"/>
      </rPr>
      <t xml:space="preserve">
-	Transfers to local governments which could be spent on COVID-19 related measures (JPY 1.1 trillion)
-	Production, procurement and distribution of critical equipment such as masks and ventilators (JPY 0.2 trillion)
-	Other health-related measures (Support for development of vaccines, etc.)</t>
    </r>
  </si>
  <si>
    <t xml:space="preserve">Note: 'bn' and 'tn' refer to billion and trillion respectively, 'LC bn' refers to local currency billion and 'n.a.' refers to not available. Numbers in U.S. dollar and percent of GDP are based on April 2020 World Economic Outlook projections for 2020 unless otherwise stated. </t>
  </si>
  <si>
    <r>
      <rPr>
        <b/>
        <sz val="10"/>
        <color theme="1"/>
        <rFont val="Arial"/>
        <family val="2"/>
      </rPr>
      <t xml:space="preserve">Spending measures (£60 bn):
</t>
    </r>
    <r>
      <rPr>
        <sz val="10"/>
        <color theme="1"/>
        <rFont val="Arial"/>
        <family val="2"/>
      </rPr>
      <t xml:space="preserve">•  Income support, including a Job Retention Scheme to subsidize furloughed employees' wages and firms' social security contributions; an income support scheme for the self-employed; direct grants for small firms in the most-affected sectors; compensation for paid sick leave; strengthening the social safety net to support vulnerable people (by nearly £7 bn) under the Universal Credit and other benefit schemes; support for renters by increasing the Local Housing Allowance. 
•  International support, with £150 million made available to the IMF’s Catastrophe Containment and Relief Trust. 
</t>
    </r>
    <r>
      <rPr>
        <b/>
        <sz val="10"/>
        <color theme="1"/>
        <rFont val="Arial"/>
        <family val="2"/>
      </rPr>
      <t>Revenue measures:</t>
    </r>
    <r>
      <rPr>
        <sz val="10"/>
        <color theme="1"/>
        <rFont val="Arial"/>
        <family val="2"/>
      </rPr>
      <t xml:space="preserve"> property tax (business rate) holiday for firms in affected sectors.
</t>
    </r>
    <r>
      <rPr>
        <b/>
        <sz val="10"/>
        <color theme="1"/>
        <rFont val="Arial"/>
        <family val="2"/>
      </rPr>
      <t xml:space="preserve">Deferral of payments: </t>
    </r>
    <r>
      <rPr>
        <sz val="10"/>
        <color theme="1"/>
        <rFont val="Arial"/>
        <family val="2"/>
      </rPr>
      <t xml:space="preserve">Liquidity support, including deferral of income tax for the self employed and VAT payments; Time to Pay arrangements  (tax debt restructuring) for businesses and individuals. 
</t>
    </r>
  </si>
  <si>
    <t xml:space="preserve">•  The Coronavirus Business Interruption Loan Scheme (CBILS) launched with the British Business Bank will support SMEs with access to loans of up to £5 million and for up to 6 years. The government will cover the first 12 months of interest payments and any lender-levied fees. 
•  Under the new Covid-19 Corporate Financing Facility (CCFF), the Bank of England will buy short term debt from larger companies. The combined size of the CBILS and CCCF schemes is £330 bn (15% of GDP). 
</t>
  </si>
  <si>
    <r>
      <rPr>
        <b/>
        <sz val="10"/>
        <rFont val="Arial"/>
        <family val="2"/>
      </rPr>
      <t xml:space="preserve">Spending measures: </t>
    </r>
    <r>
      <rPr>
        <sz val="10"/>
        <rFont val="Arial"/>
        <family val="2"/>
      </rPr>
      <t xml:space="preserve">Allocations from the Departments of Small Business Development and the Department of Tourism of R700 million made available to assist small and medium enterprises that are in distress including in tourism and hospitality sector. </t>
    </r>
    <r>
      <rPr>
        <b/>
        <sz val="10"/>
        <rFont val="Arial"/>
        <family val="2"/>
      </rPr>
      <t xml:space="preserve">
Revenue measures: </t>
    </r>
    <r>
      <rPr>
        <sz val="10"/>
        <rFont val="Arial"/>
        <family val="2"/>
      </rPr>
      <t>Tax subsidy of up to R500 per month for the next four months for those private sector employees earning below R6,500 under the Employment Tax Incentive.</t>
    </r>
    <r>
      <rPr>
        <b/>
        <sz val="10"/>
        <rFont val="Arial"/>
        <family val="2"/>
      </rPr>
      <t xml:space="preserve">
Deferral of payments:</t>
    </r>
    <r>
      <rPr>
        <sz val="10"/>
        <rFont val="Arial"/>
        <family val="2"/>
      </rPr>
      <t xml:space="preserve">
• Revenue authority (SARS) to accelerate reimbursements and tax credits, changing from twice yearly payments to monthly.
• Firms with less than ZAR50 million turnover will be allowed to defer 20 percent of PAYE liabilities for four months and an unknown portion of corporate income tax payments for six months.</t>
    </r>
  </si>
  <si>
    <t>(8 bn or 0.3 percent of GDP) Allocate to support patient care, co-finance healthcare infrastructure improvements, and telemedicine and digitalization.</t>
  </si>
  <si>
    <t>L3.8 bn in purchases of medical supplies and enabling of temporary medical facilities, hiring of additional healthcare personnel</t>
  </si>
  <si>
    <r>
      <rPr>
        <b/>
        <sz val="10"/>
        <color theme="1"/>
        <rFont val="Arial"/>
        <family val="2"/>
      </rPr>
      <t xml:space="preserve">Spending measures: </t>
    </r>
    <r>
      <rPr>
        <sz val="10"/>
        <color theme="1"/>
        <rFont val="Arial"/>
        <family val="2"/>
      </rPr>
      <t xml:space="preserve">Temporary and targeted fiscal measures taken by the authorities include: financing of a public program to deliver food supplies to the poor; temporary unemployment benefits for workers in the formal sector during the national curfew, with estimated cost of L2 bn. 
</t>
    </r>
    <r>
      <rPr>
        <b/>
        <sz val="10"/>
        <color theme="1"/>
        <rFont val="Arial"/>
        <family val="2"/>
      </rPr>
      <t>Deferral of payments</t>
    </r>
    <r>
      <rPr>
        <sz val="10"/>
        <color theme="1"/>
        <rFont val="Arial"/>
        <family val="2"/>
      </rPr>
      <t xml:space="preserve">: Deferrals on tax and social contribution payments, especially favoring SMEs. </t>
    </r>
  </si>
  <si>
    <t xml:space="preserve">The Special Feature Online Annex summarizes key fiscal measures governments have announced or taken in selected economies in response to COVID-19 pandemic from January 1 to April 8, 2020. The special feature categorizes different types of fiscal support (for example, above-the-line and below-the-line measures) that have different implications for the public finances in the near term and beyond. Please refer to Box 1.1 of the April 2020 Fiscal Monitor for details. The Special Feature is not meant for comparison across members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For a broad range of countries on their monetary and fiscal policies in response to the pandemic, please see IMF Policy Tracker (https://www.imf.org/en/Topics/imf-and-covid19/Policy-Responses-to-COVID-19). </t>
  </si>
  <si>
    <t>USD bn 4/</t>
  </si>
  <si>
    <t>• Coronavirus Aid, Relief, and Economic Security Act (March 27, 2020) includes $56 bn in loans for distress businesses (e.g., passenger and cargo air carriers, postal service etc.), and $349 bn in loans for small businesses.</t>
  </si>
  <si>
    <t>• Coronavirus Aid, Relief, and Economic Security Act (March 27, 2020) includes $454 bn to backstop section 13(3) Federal Reserve facilities that purchase corporate obligations in primary or secondary market.</t>
  </si>
  <si>
    <t xml:space="preserve">n.a. </t>
  </si>
  <si>
    <t>Total size 
/2 /3</t>
  </si>
  <si>
    <t>3/ Some estimates do not have a breakdown between loans and loan guarantees.</t>
  </si>
  <si>
    <t xml:space="preserve">5/ For Argentina, USD numbers refer to end-March 2020 exchange rate. </t>
  </si>
  <si>
    <t>USD bn /5</t>
  </si>
  <si>
    <t>LC bn /4</t>
  </si>
  <si>
    <t>USD bn 5/</t>
  </si>
  <si>
    <t xml:space="preserve">4/ The December 2019 stimulus package was subsumed in the new April 2020 fiscal package in response to the pandemic.
</t>
  </si>
  <si>
    <t xml:space="preserve">• Liquidity support provided by the National Development Funds (NDF): SAR 22 bn (0.85 percent of GDP) distributed as follows:
(i) loan rescheduling/restructuring and different loan programs to SMEs: SAR13 bn (0.5 percent of GDP).
(ii) support to employment programs in the private sector: SAR 5 bn (0.2 percent of GDP).
(iii) social loans to families with low incomes: SAR4 bn (0.15 percent of GDP).
• SAR 9 billion in wage benefits to employers who keep their workers (to be provided through the unemployment insurance scheme, SANED). </t>
  </si>
  <si>
    <t>US</t>
  </si>
  <si>
    <t>The Special Feature Online Annex summarizes key fiscal measures governments have announced or taken in selected economies in response to the COVID-19 pandemic from January 1 to April 8, 2020. The Special Feature categorizes different types of fiscal support (for example, above-the-line and below-the line measures, and guarantees) that have different implications for public finances in the near term and beyond. Please refer to Box 1.1 of the April 2020 Fiscal Monitor for details. The Special Feature is not meant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(https://www.imf.org/en/Topics/imf-and-covid19/Policy-Responses-to-COVID-19) for information on a broader range of economies and their monetary and financial policies.</t>
  </si>
  <si>
    <t>Online Annex Table 1.1. Selected Fiscal Measures in Response to the COVID-19 Pandemic (as of April 8 2020)</t>
  </si>
  <si>
    <t>• Redirecting €1 bn from the EU Budget as a guarantee to the European Investment Fund to incentivize banks to provide liquidity to hard-hit SMEs and midcaps.</t>
  </si>
  <si>
    <t xml:space="preserve">• An economic stabilization fund (WSF) of €600 bn is established with three components: 
(i) €100 bn for government equity investments in significantly affected companies; 
(ii) €100 bn loan to state development bank KfW for financing affected firms that do not have access to KfW’s existing programs; </t>
  </si>
  <si>
    <t>• Government will back (assuming 85% of the risk) a R $40 bn credit line operated by private banks for SMEs, specifically to cover payroll costs. Interest rates are capped at the policy rate (3.75%).</t>
  </si>
  <si>
    <r>
      <rPr>
        <b/>
        <sz val="10"/>
        <color theme="1"/>
        <rFont val="Arial"/>
        <family val="2"/>
      </rPr>
      <t>Spending measures</t>
    </r>
    <r>
      <rPr>
        <sz val="10"/>
        <color theme="1"/>
        <rFont val="Arial"/>
        <family val="2"/>
      </rPr>
      <t xml:space="preserve"> Lk 6.5bn: 
</t>
    </r>
    <r>
      <rPr>
        <sz val="10"/>
        <color theme="1"/>
        <rFont val="Symbol"/>
        <family val="1"/>
        <charset val="2"/>
      </rPr>
      <t>·</t>
    </r>
    <r>
      <rPr>
        <sz val="10"/>
        <color theme="1"/>
        <rFont val="Arial"/>
        <family val="2"/>
      </rPr>
      <t xml:space="preserve"> Support of small businesses/self-employed that are forced to close activities due to the pandemic (a minimum wage of Lk26,000 per month), and people in family businesses (with declared but unpaid family members in the payroll, for up to two minimum wages). These measures will last up to 3 months from April.
</t>
    </r>
    <r>
      <rPr>
        <sz val="10"/>
        <color theme="1"/>
        <rFont val="Symbol"/>
        <family val="1"/>
        <charset val="2"/>
      </rPr>
      <t>·</t>
    </r>
    <r>
      <rPr>
        <sz val="10"/>
        <color theme="1"/>
        <rFont val="Arial"/>
        <family val="2"/>
      </rPr>
      <t xml:space="preserve"> Reprioritize Lk 2bn of defense spending toward humanitarian relief for the most vulnerable.
</t>
    </r>
    <r>
      <rPr>
        <b/>
        <sz val="10"/>
        <color theme="1"/>
        <rFont val="Arial"/>
        <family val="2"/>
      </rPr>
      <t>Deferral of payments</t>
    </r>
    <r>
      <rPr>
        <sz val="10"/>
        <color theme="1"/>
        <rFont val="Arial"/>
        <family val="2"/>
      </rPr>
      <t>. Small businesses (those below an annual turnover threshold) can defer payments of the profit tax installments in the second half of the year.</t>
    </r>
  </si>
  <si>
    <r>
      <rPr>
        <b/>
        <sz val="10"/>
        <color theme="1"/>
        <rFont val="Arial"/>
        <family val="2"/>
      </rPr>
      <t xml:space="preserve">Spending measures </t>
    </r>
    <r>
      <rPr>
        <sz val="10"/>
        <color theme="1"/>
        <rFont val="Arial"/>
        <family val="2"/>
      </rPr>
      <t xml:space="preserve">(1,000 bn or 0.7 percent of GDP): Financing of additional healthcare equipment, instruments, laboratories, contracting of emergency personnel and extension of working hours, etc. </t>
    </r>
  </si>
  <si>
    <r>
      <t xml:space="preserve">The size of fiscal support is preliminary staff estimates and only part of the spending will be reflected in general government budget. 
</t>
    </r>
    <r>
      <rPr>
        <b/>
        <sz val="10"/>
        <color theme="1"/>
        <rFont val="Arial"/>
        <family val="2"/>
      </rPr>
      <t>Spending measures</t>
    </r>
    <r>
      <rPr>
        <sz val="10"/>
        <color theme="1"/>
        <rFont val="Arial"/>
        <family val="2"/>
      </rPr>
      <t xml:space="preserve">: Cash payments to the unemployed ($95 per month per person) and support employment under an “Employment Roadmap” program. Other targeted support to sectors hard-hit during the state of emergency. 
</t>
    </r>
    <r>
      <rPr>
        <b/>
        <sz val="10"/>
        <color theme="1"/>
        <rFont val="Arial"/>
        <family val="2"/>
      </rPr>
      <t>Revenue measures:</t>
    </r>
    <r>
      <rPr>
        <sz val="10"/>
        <color theme="1"/>
        <rFont val="Arial"/>
        <family val="2"/>
      </rPr>
      <t xml:space="preserve"> Measures include tax breaks for large trade centers, cinemas, which are closed during to COVID-19; tax exemptions for individual entrepreneurs and SMEs; and postponement of tax reporting from Q2 to Q3. VAT exemptions on food and socially important goods and services (such as lower utility rate).</t>
    </r>
  </si>
  <si>
    <r>
      <rPr>
        <b/>
        <sz val="10"/>
        <color theme="1"/>
        <rFont val="Arial"/>
        <family val="2"/>
      </rPr>
      <t>Spending measures</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Revenue measures: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</si>
  <si>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t xml:space="preserve">Measures include 30 tn VND tax and land rental payment deferrals (for 5 months) to support affected entities; affected firms are allowed to defer their contribution (due Mar-Jun) to the pension fund with no interest penalty for late payment; </t>
  </si>
  <si>
    <t>The first package (10.3), second package (22.9) and tax and expenditure measures from the third package (255.1). How the 150 tn from the third package will be used is not fully clear yet, but most likely in the form of liquid support for firms (thus below the line in the budget).  </t>
  </si>
  <si>
    <r>
      <rPr>
        <b/>
        <sz val="10"/>
        <color theme="1"/>
        <rFont val="Arial"/>
        <family val="2"/>
      </rPr>
      <t>Spending measures</t>
    </r>
    <r>
      <rPr>
        <sz val="10"/>
        <color theme="1"/>
        <rFont val="Arial"/>
        <family val="2"/>
      </rPr>
      <t xml:space="preserve">: A fiscal stimulus package to provide relief for taxpayers and incentivize employers to retain and recruit staff during the downturn is being designed, and an automatic fuel price formula introduced to ensure fuel subsidies are eliminated. The government is reviewing its 2020 budget and, given the expected large fall in oil revenues, announced plans to cut/delay non-essential capital spending by N1.5 tn (close to 1 percent of GDP). 
</t>
    </r>
    <r>
      <rPr>
        <b/>
        <sz val="10"/>
        <color theme="1"/>
        <rFont val="Arial"/>
        <family val="2"/>
      </rPr>
      <t>Revenue measures:</t>
    </r>
    <r>
      <rPr>
        <sz val="10"/>
        <color theme="1"/>
        <rFont val="Arial"/>
        <family val="2"/>
      </rPr>
      <t xml:space="preserve"> Import duty waivers for pharmaceutical firms will be introduced.</t>
    </r>
  </si>
  <si>
    <t>Japan has made a contribution of SDR14 mn (US$19 mn) to the IMF’s Catastrophe Containment and Relief Trust. The deadline for tax return filing and payment of personal income tax, gift tax, and consumption tax (for the self-employed) was extended from mid-March to mid-April; tax payments for people and businesses negatively impacted by the COVID-19 outbreak are deferred. In addition, the ¥26 tn (about 4.8 percent of GDP) December 2019 stimulus package is being used to offset the adverse impact of COVID-19 on the economy as well as counter the economic slowdown.</t>
  </si>
  <si>
    <r>
      <rPr>
        <b/>
        <sz val="10"/>
        <color theme="1"/>
        <rFont val="Arial"/>
        <family val="2"/>
      </rPr>
      <t>Spending measures:</t>
    </r>
    <r>
      <rPr>
        <sz val="10"/>
        <color theme="1"/>
        <rFont val="Arial"/>
        <family val="2"/>
      </rPr>
      <t xml:space="preserve"> Planned cash transfers of about VND 36 tn (0.6 percent of GDP) to vulnerable households, including the poor, recipients of social protection program, workers who temporarily stopped working or have been on unpaid leave, unemployed workers without unemployment insurance, and self-employed workers. An additional VND 61.7 tn for public investment (carryover from 2019) under consideration. </t>
    </r>
    <r>
      <rPr>
        <b/>
        <sz val="10"/>
        <color theme="1"/>
        <rFont val="Arial"/>
        <family val="2"/>
      </rPr>
      <t xml:space="preserve">
Revenue measures: </t>
    </r>
    <r>
      <rPr>
        <sz val="10"/>
        <color theme="1"/>
        <rFont val="Arial"/>
        <family val="2"/>
      </rPr>
      <t xml:space="preserve">Lower business registration fee (one year exemption of business registration tax for newly established household business; first 3-year exemption of business registration tax for SMEs); streamline tax and custom audit and inspection at firms; continued exemption of agricultural land use tax for households and farmers; corporate income tax relief for SMEs; and preferential tariffs on key items. 
</t>
    </r>
    <r>
      <rPr>
        <b/>
        <sz val="10"/>
        <color theme="1"/>
        <rFont val="Arial"/>
        <family val="2"/>
      </rPr>
      <t>Deferral of payments: I</t>
    </r>
    <r>
      <rPr>
        <sz val="10"/>
        <color theme="1"/>
        <rFont val="Arial"/>
        <family val="2"/>
      </rPr>
      <t xml:space="preserve">nclude VND 180 tn (3 percent of GDP)  tax and land rental payment deferrals (for 5 months) to support affected entities; affected firms are allowed to defer their contribution (up to 12 months) to the pension fund with no interest penalty for late payment (additional 9.6 tn VND or 0.2 percent of GDP out of the extra budgetary funds, and not state budget). </t>
    </r>
  </si>
  <si>
    <t xml:space="preserve">Note: 'mn', 'bn', and 'tn' refer to million, billion, and trillion respectively, 'LC bn' refers to local currency billion and 'n.a.' are not available. Numbers in U.S. dollar and percent of GDP are based on April 2020 World Economic Outlook projections for 2020 unless otherwise stated. </t>
  </si>
  <si>
    <t>• Liquidity provision to SMEs and households, including through the state-owned Banco del Estado (0.2 percent of GDP). 
• A state injection to the unemployment insurance system (0.8 percent of GDP).</t>
  </si>
  <si>
    <t xml:space="preserve">• The State Investment Corporation will raise Rs 2.7 bn (0.5 percent of GDP) to make equity investments in troubled firms. 
• The Development bank will give Rs 0.2 bn (0.04 percent of GDP) in credit for firms short on cash. </t>
  </si>
  <si>
    <t>• Guarantees on bonds/borrowing by the Development Bank of Japan and the Japan Finance Corporation (JPY 1 tn)
• Guarantees on external bonds issued by the Development Bank of Japan and Japan Bank for International Cooperation (JPY 1 tn)</t>
  </si>
  <si>
    <t>• The government has approved a line of public guarantees and guarantees worth up to €100 bn. 
• Additional guarantees of €2 bn for exporters through the Spanish Export Insurance Credit Company. 
• Some guarantees for loan maturity extensions to farmers using the special 2017 drought credit lines.</t>
  </si>
  <si>
    <t xml:space="preserve">• Finland’s Export Credit Agency expands its lending and guarantee capacity to SMEs by €10 bn and the government will increase its coverage of the agency’s credit and guarantee losses from 50 to 80 percent. 
• State guarantee for Finnair (€ 0.6 bn). </t>
  </si>
  <si>
    <t xml:space="preserve">• Credit guarantees for Swedish airlines. 
• Expansion of the Swedish Export Credit Agency’s credit guarantee framework and the programs under the Swedish Export Credit Corporation. 
• Loan guarantees for SMEs. 
• Expansion of the National Board of Health and Welfare's credit framework. </t>
  </si>
  <si>
    <t xml:space="preserve">• Establishing a financing line for SMEs. 
• Some extra-budgetary funds on public donation to the health sector. 
• Investment fund to finance private companies to preserve jobs. 
• A bridging fund for repurchase of shares in investment funds. </t>
  </si>
  <si>
    <t>• The Abu Dhabi government announced provision of loans to SMEs. 
• State-owned enterprises and banks support the private sector through loan restructuring, lowering lease payments (by real estate companies), halting evictions etc.</t>
  </si>
  <si>
    <r>
      <rPr>
        <b/>
        <sz val="10"/>
        <color theme="1"/>
        <rFont val="Arial"/>
        <family val="2"/>
      </rPr>
      <t>Spending measures:</t>
    </r>
    <r>
      <rPr>
        <sz val="10"/>
        <color theme="1"/>
        <rFont val="Arial"/>
        <family val="2"/>
      </rPr>
      <t xml:space="preserve"> Part of the increased spending will finance additional health care needs. </t>
    </r>
  </si>
  <si>
    <r>
      <rPr>
        <b/>
        <sz val="10"/>
        <color theme="1"/>
        <rFont val="Arial"/>
        <family val="2"/>
      </rPr>
      <t>Spending measures:</t>
    </r>
    <r>
      <rPr>
        <sz val="10"/>
        <color theme="1"/>
        <rFont val="Arial"/>
        <family val="2"/>
      </rPr>
      <t xml:space="preserve"> Transfers to municipalities that have large health expenses due to the pandemic. </t>
    </r>
  </si>
  <si>
    <r>
      <rPr>
        <b/>
        <sz val="10"/>
        <color theme="1"/>
        <rFont val="Arial"/>
        <family val="2"/>
      </rPr>
      <t>Spending measures</t>
    </r>
    <r>
      <rPr>
        <sz val="10"/>
        <color theme="1"/>
        <rFont val="Arial"/>
        <family val="2"/>
      </rPr>
      <t>: to contain the outbreak, provided mainly to the Ministry of Health.</t>
    </r>
  </si>
  <si>
    <r>
      <rPr>
        <b/>
        <sz val="10"/>
        <color theme="1"/>
        <rFont val="Arial"/>
        <family val="2"/>
      </rPr>
      <t>Spending measures</t>
    </r>
    <r>
      <rPr>
        <sz val="10"/>
        <color theme="1"/>
        <rFont val="Arial"/>
        <family val="2"/>
      </rPr>
      <t xml:space="preserve">: 
• Expenditure measures include larger wage subsidies for temporary lay-offs and more generous unemployment benefits; expanded sickness benefits; grants for start-ups; subsidies for domestic air routes.
• Grants to counties are increased to strengthen support for skills upgrade and in-house training for companies affected by the virus outbreak.
</t>
    </r>
    <r>
      <rPr>
        <b/>
        <sz val="10"/>
        <color theme="1"/>
        <rFont val="Arial"/>
        <family val="2"/>
      </rPr>
      <t>Revenue measures:</t>
    </r>
    <r>
      <rPr>
        <sz val="10"/>
        <color theme="1"/>
        <rFont val="Arial"/>
        <family val="2"/>
      </rPr>
      <t xml:space="preserve">
</t>
    </r>
    <r>
      <rPr>
        <b/>
        <sz val="10"/>
        <color theme="1"/>
        <rFont val="Arial"/>
        <family val="2"/>
      </rPr>
      <t xml:space="preserve">• </t>
    </r>
    <r>
      <rPr>
        <sz val="10"/>
        <color theme="1"/>
        <rFont val="Arial"/>
        <family val="2"/>
      </rPr>
      <t xml:space="preserve">The reduced VAT rate is temporarily cut from 12 to 8 percent (from April 1st to 30th October 2020). 
• Aviation taxes on air passengers are suspended from January 2020 to October 2020; aviation charges until 31 June 2020. 
• Corporate income tax regulations are amended so that companies can re-allocate their current losses towards previous years’ taxed profits, thus lowering their tax liabilities. Owners of lossmaking companies can postpone payments of wealth tax in 2020. 
• Temporary cut of employers’ social insurance contributions.
</t>
    </r>
    <r>
      <rPr>
        <b/>
        <sz val="10"/>
        <color theme="1"/>
        <rFont val="Arial"/>
        <family val="2"/>
      </rPr>
      <t>Deferral of payments:</t>
    </r>
    <r>
      <rPr>
        <sz val="10"/>
        <color theme="1"/>
        <rFont val="Arial"/>
        <family val="2"/>
      </rPr>
      <t xml:space="preserve"> for various taxes.</t>
    </r>
  </si>
  <si>
    <r>
      <rPr>
        <b/>
        <sz val="10"/>
        <color theme="1"/>
        <rFont val="Arial"/>
        <family val="2"/>
      </rPr>
      <t xml:space="preserve">Spending measures. </t>
    </r>
    <r>
      <rPr>
        <sz val="10"/>
        <color theme="1"/>
        <rFont val="Arial"/>
        <family val="2"/>
      </rPr>
      <t xml:space="preserve">
• The Care and Support Package provides support to households (S$1.6 bn), including through a cash payout and an additional goods and services tax (GST) voucher. 
• The Stabilization and Support Package provides support to businesses (S$4.0 bn), including wage subsidies as well as additional support for industries directly affected and self-employed persons.
</t>
    </r>
    <r>
      <rPr>
        <b/>
        <sz val="10"/>
        <color theme="1"/>
        <rFont val="Arial"/>
        <family val="2"/>
      </rPr>
      <t>Revenue measures</t>
    </r>
    <r>
      <rPr>
        <sz val="10"/>
        <color theme="1"/>
        <rFont val="Arial"/>
        <family val="2"/>
      </rPr>
      <t xml:space="preserve">: Corporate income tax rebate and property tax rebates; carry-back provisions for qualifying deductions and faster write-downs for qualifying investments. </t>
    </r>
  </si>
  <si>
    <t>• BGN 0.5 bn to the Bulgarian Development Bank for guarantees before the commercial banks to extend loans to firms.
• BGN 0.2 bn to the development bank for interest-free loans to employees in non-paid leave up to BGN 1500.</t>
  </si>
  <si>
    <r>
      <rPr>
        <b/>
        <sz val="10"/>
        <color theme="1"/>
        <rFont val="Arial"/>
        <family val="2"/>
      </rPr>
      <t>Spending measures:</t>
    </r>
    <r>
      <rPr>
        <sz val="10"/>
        <color theme="1"/>
        <rFont val="Arial"/>
        <family val="2"/>
      </rPr>
      <t xml:space="preserve"> Additional funding for health sector in the amount of Lk 3.5 bn, including some allocation to the Reserve Fund. </t>
    </r>
  </si>
  <si>
    <r>
      <rPr>
        <b/>
        <sz val="10"/>
        <color theme="1"/>
        <rFont val="Arial"/>
        <family val="2"/>
      </rPr>
      <t>Spending measures</t>
    </r>
    <r>
      <rPr>
        <sz val="10"/>
        <color theme="1"/>
        <rFont val="Arial"/>
        <family val="2"/>
      </rPr>
      <t xml:space="preserve">:
• Additional remunerations in the ministries of health, interior and defense (0.5 bn).
</t>
    </r>
    <r>
      <rPr>
        <b/>
        <sz val="10"/>
        <color theme="1"/>
        <rFont val="Arial"/>
        <family val="2"/>
      </rPr>
      <t>•</t>
    </r>
    <r>
      <rPr>
        <sz val="10"/>
        <color theme="1"/>
        <rFont val="Arial"/>
        <family val="2"/>
      </rPr>
      <t xml:space="preserve"> Enhanced use of EU funds for expansion of social patronage services for the elderly and disabled people and purchase of medical supplies and equipment.</t>
    </r>
  </si>
  <si>
    <r>
      <rPr>
        <b/>
        <sz val="10"/>
        <color theme="1"/>
        <rFont val="Arial"/>
        <family val="2"/>
      </rPr>
      <t>Spending measures</t>
    </r>
    <r>
      <rPr>
        <sz val="10"/>
        <color theme="1"/>
        <rFont val="Arial"/>
        <family val="2"/>
      </rPr>
      <t xml:space="preserve">: Health sector budgetary support from central government. 
</t>
    </r>
    <r>
      <rPr>
        <b/>
        <sz val="10"/>
        <color theme="1"/>
        <rFont val="Arial"/>
        <family val="2"/>
      </rPr>
      <t>Revenue measures</t>
    </r>
    <r>
      <rPr>
        <sz val="10"/>
        <color theme="1"/>
        <rFont val="Arial"/>
        <family val="2"/>
      </rPr>
      <t>: a reduction of tariffs for strategic health imports.</t>
    </r>
  </si>
  <si>
    <t>• Bancoldex (Colombian Development Bank) launched a special line of credit for COP250 bn for the tourism and transport sectors
• Access to oil stabilization and pension funds in case of emergency.
• Capitalization of the National Guarantee Fund to leverage loans to SMEs (COP 70 bn)</t>
  </si>
  <si>
    <r>
      <rPr>
        <b/>
        <sz val="10"/>
        <color theme="1"/>
        <rFont val="Arial"/>
        <family val="2"/>
      </rPr>
      <t xml:space="preserve">Spending measures.
• </t>
    </r>
    <r>
      <rPr>
        <sz val="10"/>
        <color theme="1"/>
        <rFont val="Arial"/>
        <family val="2"/>
      </rPr>
      <t xml:space="preserve">Faster direct contracting for services associated with the emergency response and expanded transfers for vulnerable groups.
• Expanded transfers for vulnerable groups (Including accelerated VAT reimbursements).
• Created a National Emergency Mitigation Fund (FOME, worth around 1.5 percent of GDP), partially funded from regional and stabilization funds.
</t>
    </r>
    <r>
      <rPr>
        <b/>
        <sz val="10"/>
        <color theme="1"/>
        <rFont val="Arial"/>
        <family val="2"/>
      </rPr>
      <t xml:space="preserve">Deferral of payments: </t>
    </r>
    <r>
      <rPr>
        <sz val="10"/>
        <color theme="1"/>
        <rFont val="Arial"/>
        <family val="2"/>
      </rPr>
      <t xml:space="preserve">Delayed tax collection for the tourism and air transportation sectors. </t>
    </r>
  </si>
  <si>
    <r>
      <rPr>
        <b/>
        <sz val="10"/>
        <color theme="1"/>
        <rFont val="Arial"/>
        <family val="2"/>
      </rPr>
      <t>Spending measures:</t>
    </r>
    <r>
      <rPr>
        <sz val="10"/>
        <color theme="1"/>
        <rFont val="Arial"/>
        <family val="1"/>
        <charset val="2"/>
      </rPr>
      <t xml:space="preserve">
• The government provides urgent and necessary medical supplies and disburses bonus for medical staff working in quarantine hospitals and labs (EGP 3.8 bn). 
• State-paid healthcare workers will receive a 75 percent allowance on top of their wages.</t>
    </r>
  </si>
  <si>
    <r>
      <rPr>
        <b/>
        <sz val="10"/>
        <color theme="1"/>
        <rFont val="Arial"/>
        <family val="2"/>
      </rPr>
      <t xml:space="preserve">Spending measures: </t>
    </r>
    <r>
      <rPr>
        <sz val="10"/>
        <color theme="1"/>
        <rFont val="Arial"/>
        <family val="2"/>
      </rPr>
      <t xml:space="preserve">
• Industrial companies have received subsidies on lower energy costs and subsidy pay-out for exporters.
• Pensions have been increased by 14 percent; subsidy pay-out for exporters has been stepped up. EGP 50 bn has been announced for the tourism sector support. Targeted EGP 50 million support for irregular workers in most severely hit sectors. Around 80-100k families will be added to Takaful and Karama benefit programs at a cost of about EGP 800 million.
</t>
    </r>
    <r>
      <rPr>
        <b/>
        <sz val="10"/>
        <color theme="1"/>
        <rFont val="Arial"/>
        <family val="2"/>
      </rPr>
      <t xml:space="preserve">Revenue measures. 
</t>
    </r>
    <r>
      <rPr>
        <sz val="10"/>
        <color theme="1"/>
        <rFont val="Arial"/>
        <family val="2"/>
      </rPr>
      <t>• Temporary real estate tax relief has been provided for industrial and tourism sectors; the moratorium on the tax law on agricultural land has been extended for 2 years; a 6-month grace period for SMEs to pay insurance premiums.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</si>
  <si>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t>• Stock-purchase by the central bank (EGP 20bn). 
• Funds for tourism sector bailouts of EGP 50 bn announced. Various loan subsidies to tourism, industry, agriculture and housing: The preferential interest rate on loans to SMEs, industry, tourism, agriculture and housing for low-income and middle-class families has been reduced from 10 percent to 8 percent. 
• A new debt relief initiative for individuals at risk of default was announced, that will waive marginal interest on debt under EGP 1 million if customers make a 50 percent payment.</t>
  </si>
  <si>
    <r>
      <rPr>
        <b/>
        <sz val="10"/>
        <color theme="1"/>
        <rFont val="Arial"/>
        <family val="2"/>
      </rPr>
      <t>Spending measures</t>
    </r>
    <r>
      <rPr>
        <sz val="10"/>
        <color theme="1"/>
        <rFont val="Arial"/>
        <family val="2"/>
      </rPr>
      <t>: Medical staff together with policy and other specialists will receive a bonus of one-month salary.</t>
    </r>
  </si>
  <si>
    <r>
      <rPr>
        <b/>
        <sz val="10"/>
        <color theme="1"/>
        <rFont val="Arial"/>
        <family val="2"/>
      </rPr>
      <t>Spending measures</t>
    </r>
    <r>
      <rPr>
        <sz val="10"/>
        <color theme="1"/>
        <rFont val="Arial"/>
        <family val="2"/>
      </rPr>
      <t>: Increase general public health spending (0.2 bn).</t>
    </r>
  </si>
  <si>
    <r>
      <rPr>
        <b/>
        <sz val="10"/>
        <color theme="1"/>
        <rFont val="Arial"/>
        <family val="2"/>
      </rPr>
      <t>Spending measures</t>
    </r>
    <r>
      <rPr>
        <sz val="10"/>
        <color theme="1"/>
        <rFont val="Arial"/>
        <family val="2"/>
      </rPr>
      <t xml:space="preserve"> (8 bn or 0.3 percent of GDP): Allocated to support patient care, co-finance healthcare infrastructure improvements, and telemedicine and digitalization.</t>
    </r>
  </si>
  <si>
    <r>
      <rPr>
        <b/>
        <sz val="10"/>
        <color theme="1"/>
        <rFont val="Arial"/>
        <family val="2"/>
      </rPr>
      <t>Spending measures:</t>
    </r>
    <r>
      <rPr>
        <sz val="10"/>
        <color theme="1"/>
        <rFont val="Arial"/>
        <family val="2"/>
      </rPr>
      <t xml:space="preserve"> Additional health spending (TND 0.3 bn) and creation of a fund for the acquisition of equipment for public hospitals; 
</t>
    </r>
    <r>
      <rPr>
        <b/>
        <sz val="10"/>
        <color theme="1"/>
        <rFont val="Arial"/>
        <family val="2"/>
      </rPr>
      <t>Revenue measures:</t>
    </r>
    <r>
      <rPr>
        <sz val="10"/>
        <color theme="1"/>
        <rFont val="Arial"/>
        <family val="2"/>
      </rPr>
      <t xml:space="preserve"> waiver of VAT for business selling medicines (TND 0.03 bn).</t>
    </r>
  </si>
  <si>
    <r>
      <rPr>
        <b/>
        <sz val="10"/>
        <color theme="1"/>
        <rFont val="Arial"/>
        <family val="2"/>
      </rPr>
      <t xml:space="preserve">Spending measures: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</si>
  <si>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Spending measures</t>
    </r>
    <r>
      <rPr>
        <sz val="10"/>
        <color theme="1"/>
        <rFont val="Arial"/>
        <family val="2"/>
      </rPr>
      <t xml:space="preserve">: An additional Taka 2.5 bn was allocated to the Health Services Division, Ministry of Health &amp; Family Welfare for pandemic preparedness and response plan. 
</t>
    </r>
    <r>
      <rPr>
        <b/>
        <sz val="10"/>
        <color theme="1"/>
        <rFont val="Arial"/>
        <family val="2"/>
      </rPr>
      <t>Revenue measures</t>
    </r>
    <r>
      <rPr>
        <sz val="10"/>
        <color theme="1"/>
        <rFont val="Arial"/>
        <family val="2"/>
      </rPr>
      <t>: The National Board of Revenue has suspended temporarily duties and taxes on imports of medical supplies, including protective equipment and test kits.</t>
    </r>
  </si>
  <si>
    <r>
      <rPr>
        <b/>
        <sz val="10"/>
        <color theme="1"/>
        <rFont val="Arial"/>
        <family val="2"/>
      </rPr>
      <t>Spending measures</t>
    </r>
    <r>
      <rPr>
        <sz val="10"/>
        <color theme="1"/>
        <rFont val="Arial"/>
        <family val="2"/>
      </rPr>
      <t>: L3.8 bn in purchases of medical supplies and enabling of temporary medical facilities, hiring of additional healthcare personnel</t>
    </r>
  </si>
  <si>
    <r>
      <rPr>
        <b/>
        <sz val="10"/>
        <color theme="1"/>
        <rFont val="Arial"/>
        <family val="2"/>
      </rPr>
      <t>Spending measures</t>
    </r>
    <r>
      <rPr>
        <sz val="10"/>
        <color theme="1"/>
        <rFont val="Arial"/>
        <family val="2"/>
      </rPr>
      <t>: A total of N7.5 bn was allocated for health sector, including contingency funds released to Nigeria’s Center for Disease Control for more testing kits and opening more centers and train medical personnel.</t>
    </r>
  </si>
  <si>
    <r>
      <rPr>
        <b/>
        <sz val="10"/>
        <color theme="1"/>
        <rFont val="Arial"/>
        <family val="2"/>
      </rPr>
      <t>Spending measures</t>
    </r>
    <r>
      <rPr>
        <sz val="10"/>
        <color theme="1"/>
        <rFont val="Arial"/>
        <family val="2"/>
      </rPr>
      <t>: A strategic plan to fight against COVID-19 is being implemented to i) enhance testing and treatment capacity, ii) strengthen preventive measures, and iii) intensify communication. The authorities' action plan includes measures in the health sector of 73 bn (0.50% of GDP).</t>
    </r>
  </si>
  <si>
    <r>
      <rPr>
        <b/>
        <sz val="10"/>
        <color theme="1"/>
        <rFont val="Arial"/>
        <family val="2"/>
      </rPr>
      <t>Spending measures</t>
    </r>
    <r>
      <rPr>
        <sz val="10"/>
        <color theme="1"/>
        <rFont val="Arial"/>
        <family val="2"/>
      </rPr>
      <t xml:space="preserve">: Treatment costs of Covid-19 positive patients are covered by either Health Insurance Fund (under Vietnam Social Security) or by the state budget.
</t>
    </r>
    <r>
      <rPr>
        <b/>
        <sz val="10"/>
        <color theme="1"/>
        <rFont val="Arial"/>
        <family val="2"/>
      </rPr>
      <t>Revenue measures</t>
    </r>
    <r>
      <rPr>
        <sz val="10"/>
        <color theme="1"/>
        <rFont val="Arial"/>
        <family val="2"/>
      </rPr>
      <t xml:space="preserve">: Exemption of import tariff for medical material. Suspension of VAT for domestically produced medical material. </t>
    </r>
  </si>
  <si>
    <t>• The third fiscal package includes IDR 150 tn (0.9 percent of GDP) financing for a national economic program, including to support credit guarantees for the private sector.</t>
  </si>
  <si>
    <t>• The State Pension Fund will invest in commercial paper (€1 bn).</t>
  </si>
  <si>
    <t>• The loan guarantee program for SMEs (especially those affected by the outbreak) is expanded to cover up to 75 percent of total loan, with maturity of 1 year or less.</t>
  </si>
  <si>
    <t xml:space="preserve">• The reinstatement of a government fund that buys bonds issued by Norwegian companies to increase liquidity and access to capital in the Norwegian bond market, with a ceiling of NOK 50 bn. </t>
  </si>
  <si>
    <t xml:space="preserve">• Establish a government guarantee scheme for bank loans to SMEs, with a ceiling of NOK 50 bn. </t>
  </si>
  <si>
    <t>• Setting aside loan capital of S$20 bn.</t>
  </si>
  <si>
    <t xml:space="preserve">• Lk11bn Government has offered a sovereign guarantee for large businesses to tap overdraft or credit lines in the banking sector to pay worker salaries (Details of the scheme have yet to be finalized). </t>
  </si>
  <si>
    <t>• Subsidized lending will be provided under the state program (“Economy of Simple Things”, KZT 1 tn), along with actions to help small and medium-sized enterprises (SMEs) finance their working capital (KZT 600 bn).</t>
  </si>
  <si>
    <t xml:space="preserve">• The Polish Development Fund Group (which includes the main state-owned development bank BGK) will provide financing and guarantees for firms (68 bn). </t>
  </si>
  <si>
    <t>• Allow the State to guarantee new credits for management, operation and maintenance provided by the banking system until December 31, 2020 reimbursable over seven years, including a two-year grace period in sectors such as tourism, transport, culture, etc.</t>
  </si>
  <si>
    <t>• Abu Dhabi: Credit guarantees and liquidity support to small- and medium-sized enterprises.</t>
  </si>
  <si>
    <t xml:space="preserve">• The government planned to extend soft loans (TK 50 bn). </t>
  </si>
  <si>
    <t>Additional spending and foregone revenue
in areas other than health</t>
  </si>
  <si>
    <t>Spending and revenue measures in the health sector</t>
  </si>
  <si>
    <t>• Farm Credit Canada will receive support from the government that will allow for an additional CAD5 bn in lending capacity to producers, agribusinesses, and food processors.</t>
  </si>
  <si>
    <t>• Canada Emergency Business Account program will provide up to CAD25 bn in funds and guarantees for eligible financial institutions to provide interest-free loans to small businesses. 
• SME Loan and Guarantee program will guarantee up to CAD40 bn in lending, supported through Export Development Canada and Business Development Bank.</t>
  </si>
  <si>
    <r>
      <rPr>
        <b/>
        <sz val="10"/>
        <color theme="1"/>
        <rFont val="Arial"/>
        <family val="2"/>
      </rPr>
      <t>Deferred revenue (CAD85 bn)</t>
    </r>
    <r>
      <rPr>
        <sz val="10"/>
        <color theme="1"/>
        <rFont val="Arial"/>
        <family val="2"/>
      </rPr>
      <t>: Liquidity support through temporary interest-free tax deferrals for businesses and self employed, amounting to CAD55 bn in deferred income taxes and CAD30 bn in deferred GST/HST and customs duties for imports.</t>
    </r>
  </si>
  <si>
    <t xml:space="preserve">• Government to provide the Australian Office of Financial Management with an investment capacity (AUD15 bn) to invest in structured finance markets used by smaller lenders. </t>
  </si>
  <si>
    <t>• Under a Coronavirus SME Guarantee Scheme, government to guarantee 50 percent of loans (up to AUD40 bn) offered by local lenders to SMEs.</t>
  </si>
  <si>
    <r>
      <rPr>
        <b/>
        <sz val="10"/>
        <rFont val="Arial"/>
        <family val="2"/>
      </rPr>
      <t xml:space="preserve">Additional spending (AUD188 bn): </t>
    </r>
    <r>
      <rPr>
        <sz val="10"/>
        <rFont val="Arial"/>
        <family val="2"/>
      </rPr>
      <t xml:space="preserve">Tax-free cash payments to eligible small businesses to continue operations; wage subsidies for small businesses to keep their workers; payments to lower-income Australians, including pensioners, other social security and veteran income support recipients, and eligible concession card holders.
</t>
    </r>
    <r>
      <rPr>
        <b/>
        <sz val="10"/>
        <rFont val="Arial"/>
        <family val="2"/>
      </rPr>
      <t xml:space="preserve">Foregone revenue (AUD5.8 bn): </t>
    </r>
    <r>
      <rPr>
        <sz val="10"/>
        <rFont val="Arial"/>
        <family val="2"/>
      </rPr>
      <t>Asset write-off; accelerated depreciation deductions to support investment; tax reliefs for Australian airlines and airports; waiver of fees and charges for tourism businesses in most affected regions and communities.</t>
    </r>
  </si>
  <si>
    <r>
      <rPr>
        <b/>
        <sz val="10"/>
        <color theme="1"/>
        <rFont val="Arial"/>
        <family val="2"/>
      </rPr>
      <t xml:space="preserve">Additional spending (CAD105 bn): </t>
    </r>
    <r>
      <rPr>
        <sz val="10"/>
        <color theme="1"/>
        <rFont val="Arial"/>
        <family val="2"/>
      </rPr>
      <t xml:space="preserve">Income support for firms and people, including payments to workers without access to sick leave and employment insurance, an increase in existing GST tax credits and childcare benefits, support to the most vulnerable including through a new Indigenous Community Support Fund, and a firm subsidy equal to 75 percent of employee wages for up to 3 months.
</t>
    </r>
  </si>
  <si>
    <r>
      <rPr>
        <b/>
        <sz val="10"/>
        <rFont val="Arial"/>
        <family val="2"/>
      </rPr>
      <t xml:space="preserve">Additional spending (€11 bn): </t>
    </r>
    <r>
      <rPr>
        <sz val="10"/>
        <rFont val="Arial"/>
        <family val="2"/>
      </rPr>
      <t xml:space="preserve">Subsidies for wages of workers under the reduced-hour scheme  and direct financial support to affected SMEs and independent workers. 
</t>
    </r>
    <r>
      <rPr>
        <b/>
        <sz val="10"/>
        <rFont val="Arial"/>
        <family val="2"/>
      </rPr>
      <t xml:space="preserve">
</t>
    </r>
  </si>
  <si>
    <t>Accelerated spending and deferred revenue in areas other than health</t>
  </si>
  <si>
    <r>
      <rPr>
        <b/>
        <sz val="10"/>
        <rFont val="Arial"/>
        <family val="2"/>
      </rPr>
      <t>Accelerated spending:</t>
    </r>
    <r>
      <rPr>
        <sz val="10"/>
        <rFont val="Arial"/>
        <family val="2"/>
      </rPr>
      <t xml:space="preserve"> advance refund of tax credits (e.g. CIT and VAT).
</t>
    </r>
    <r>
      <rPr>
        <b/>
        <sz val="10"/>
        <rFont val="Arial"/>
        <family val="2"/>
      </rPr>
      <t xml:space="preserve">Deferred revenue: </t>
    </r>
    <r>
      <rPr>
        <sz val="10"/>
        <rFont val="Arial"/>
        <family val="2"/>
      </rPr>
      <t>Liquidity support through postponement of social security contributions and tax payment for companies, and rent and utility payments for affected SMEs.</t>
    </r>
  </si>
  <si>
    <r>
      <rPr>
        <b/>
        <sz val="10"/>
        <color theme="1"/>
        <rFont val="Arial"/>
        <family val="2"/>
      </rPr>
      <t>Deferred revenue</t>
    </r>
    <r>
      <rPr>
        <sz val="10"/>
        <color theme="1"/>
        <rFont val="Arial"/>
        <family val="2"/>
      </rPr>
      <t>: including options for deferring tax payments and reducing prepayments until the year-end without penalties.</t>
    </r>
  </si>
  <si>
    <t>Euro Area and the EU</t>
  </si>
  <si>
    <r>
      <rPr>
        <b/>
        <sz val="10"/>
        <color theme="1"/>
        <rFont val="Arial"/>
        <family val="2"/>
      </rPr>
      <t xml:space="preserve">Additional spending (€37 bn): </t>
    </r>
    <r>
      <rPr>
        <sz val="10"/>
        <color theme="1"/>
        <rFont val="Arial"/>
        <family val="2"/>
      </rPr>
      <t xml:space="preserve">
• The European Commission announced that the size of the Corona Response Investment Initiative will be raised to €37 bn, to support public investment for hospitals, labor markets, and stressed regions</t>
    </r>
    <r>
      <rPr>
        <sz val="10"/>
        <color rgb="FFFF0000"/>
        <rFont val="Arial"/>
        <family val="2"/>
      </rPr>
      <t>.</t>
    </r>
    <r>
      <rPr>
        <sz val="10"/>
        <color theme="1"/>
        <rFont val="Arial"/>
        <family val="2"/>
      </rPr>
      <t xml:space="preserve">
• The Commission proposed to extend the scope of the EU Solidarity Fund by also including a public health crisis within its scope, in view of mobilizing it if needed for the hardest hit EU member states. Up to €0.8 bn is available in 2020. </t>
    </r>
  </si>
  <si>
    <r>
      <rPr>
        <b/>
        <sz val="10"/>
        <color theme="1"/>
        <rFont val="Arial"/>
        <family val="2"/>
      </rPr>
      <t xml:space="preserve">Additional spending (€131.8 bn): </t>
    </r>
    <r>
      <rPr>
        <sz val="10"/>
        <color theme="1"/>
        <rFont val="Arial"/>
        <family val="2"/>
      </rPr>
      <t xml:space="preserve">including grants to hard hit small businesses and self-employed, increased access to childcare and basic social security benefits, and temporary relief to affected tenants. There is also support to firms and households provided through the “Kurzabeit” program, part of which could be considered discretionary because the program parameters have been changed.
</t>
    </r>
    <r>
      <rPr>
        <b/>
        <sz val="10"/>
        <color theme="1"/>
        <rFont val="Arial"/>
        <family val="2"/>
      </rPr>
      <t xml:space="preserve">
</t>
    </r>
  </si>
  <si>
    <r>
      <rPr>
        <b/>
        <sz val="10"/>
        <rFont val="Arial"/>
        <family val="2"/>
      </rPr>
      <t xml:space="preserve">Additional spending (€16.7 bn): </t>
    </r>
    <r>
      <rPr>
        <sz val="10"/>
        <rFont val="Arial"/>
        <family val="2"/>
      </rPr>
      <t xml:space="preserve">including Income support to laid-off workers and the self-employed by broadening the wage supplementation fund (€10.3). </t>
    </r>
  </si>
  <si>
    <r>
      <rPr>
        <b/>
        <sz val="10"/>
        <rFont val="Arial"/>
        <family val="2"/>
      </rPr>
      <t>Deferred revenue:</t>
    </r>
    <r>
      <rPr>
        <sz val="10"/>
        <rFont val="Arial"/>
        <family val="2"/>
      </rPr>
      <t xml:space="preserve"> including postponement of certain tax and social security payments for SMEs, as well as taxes and utility bill payments in most affected municipalities. </t>
    </r>
  </si>
  <si>
    <r>
      <rPr>
        <b/>
        <sz val="10"/>
        <color theme="1"/>
        <rFont val="Arial"/>
        <family val="2"/>
      </rPr>
      <t>Deferred revenue:</t>
    </r>
    <r>
      <rPr>
        <sz val="10"/>
        <color theme="1"/>
        <rFont val="Arial"/>
        <family val="2"/>
      </rPr>
      <t xml:space="preserve"> Deferral of payment of taxes and social security premiums by affected firms and households for one year.</t>
    </r>
  </si>
  <si>
    <r>
      <rPr>
        <b/>
        <sz val="10"/>
        <color theme="1"/>
        <rFont val="Arial"/>
        <family val="2"/>
      </rPr>
      <t>Health spending (AUD3.6 bn):</t>
    </r>
    <r>
      <rPr>
        <sz val="10"/>
        <color theme="1"/>
        <rFont val="Arial"/>
        <family val="2"/>
      </rPr>
      <t xml:space="preserve">
• Support for primary and aged care, hospitals, and research to ensure effective diagnosis and treatment of the infected and minimize the spread of the virus.
• The Commonwealth government to pay for half of all additional costs incurred by states and territories in diagnosing and treating patients with COVID-19.</t>
    </r>
  </si>
  <si>
    <r>
      <rPr>
        <b/>
        <sz val="10"/>
        <color theme="1"/>
        <rFont val="Arial"/>
        <family val="2"/>
      </rPr>
      <t xml:space="preserve">Health spending (CAD3.2 bn): </t>
    </r>
    <r>
      <rPr>
        <sz val="10"/>
        <color theme="1"/>
        <rFont val="Arial"/>
        <family val="2"/>
      </rPr>
      <t>Support to the health system including for increased testing, vaccine development, medical supplies, mitigation efforts; and greater support for Indigenous communities.</t>
    </r>
  </si>
  <si>
    <r>
      <rPr>
        <b/>
        <sz val="10"/>
        <color theme="1"/>
        <rFont val="Arial"/>
        <family val="2"/>
      </rPr>
      <t xml:space="preserve">Health spending (€0.05 bn): </t>
    </r>
    <r>
      <rPr>
        <sz val="10"/>
        <color theme="1"/>
        <rFont val="Arial"/>
        <family val="2"/>
      </rPr>
      <t>The European Commission redirected funding of €47.5 million towards research on COVID-19 vaccine development, treatment, and diagnostics.</t>
    </r>
  </si>
  <si>
    <r>
      <rPr>
        <b/>
        <sz val="10"/>
        <color theme="1"/>
        <rFont val="Arial"/>
        <family val="2"/>
      </rPr>
      <t xml:space="preserve">Health spending (€5.5 bn): </t>
    </r>
    <r>
      <rPr>
        <sz val="10"/>
        <color theme="1"/>
        <rFont val="Arial"/>
        <family val="2"/>
      </rPr>
      <t>Support for streamlining and boosting health insurance for the sick or their caregivers, and higher spending on health supplies.</t>
    </r>
  </si>
  <si>
    <r>
      <rPr>
        <b/>
        <sz val="10"/>
        <color theme="1"/>
        <rFont val="Arial"/>
        <family val="2"/>
      </rPr>
      <t xml:space="preserve">Health spending (€3.2 bn): </t>
    </r>
    <r>
      <rPr>
        <sz val="10"/>
        <color theme="1"/>
        <rFont val="Arial"/>
        <family val="2"/>
      </rPr>
      <t>including on medical equipment and staff, as well as civil protection.</t>
    </r>
  </si>
  <si>
    <r>
      <rPr>
        <b/>
        <sz val="10"/>
        <color theme="1"/>
        <rFont val="Arial"/>
        <family val="2"/>
      </rPr>
      <t xml:space="preserve">Health spending (€11.2 bn): </t>
    </r>
    <r>
      <rPr>
        <sz val="10"/>
        <color theme="1"/>
        <rFont val="Arial"/>
        <family val="2"/>
      </rPr>
      <t xml:space="preserve"> on hospital capacity, medical equipment, research, and information campaigns. </t>
    </r>
  </si>
  <si>
    <r>
      <rPr>
        <b/>
        <sz val="10"/>
        <color theme="1"/>
        <rFont val="Arial"/>
        <family val="2"/>
      </rPr>
      <t>Health spending:</t>
    </r>
    <r>
      <rPr>
        <sz val="10"/>
        <color theme="1"/>
        <rFont val="Arial"/>
        <family val="2"/>
      </rPr>
      <t xml:space="preserve">
• Transfers to local governments which could be spent on COVID-19 related measures (JPY 1.1 tn)
• Production, procurement and distribution of critical equipment such as masks and ventilators (JPY 0.2 tn)
• Other health-related measures (Support for development of vaccines, etc.)</t>
    </r>
  </si>
  <si>
    <r>
      <rPr>
        <b/>
        <sz val="10"/>
        <color theme="1"/>
        <rFont val="Arial"/>
        <family val="2"/>
      </rPr>
      <t xml:space="preserve">Health spending (KRW 3 tn): </t>
    </r>
    <r>
      <rPr>
        <sz val="10"/>
        <color theme="1"/>
        <rFont val="Arial"/>
        <family val="2"/>
      </rPr>
      <t>Epidemic prevention and treatment, support for medical institutions and quarantined households.</t>
    </r>
  </si>
  <si>
    <r>
      <rPr>
        <b/>
        <sz val="10"/>
        <color theme="1"/>
        <rFont val="Arial"/>
        <family val="2"/>
      </rPr>
      <t xml:space="preserve">Health spending </t>
    </r>
    <r>
      <rPr>
        <sz val="10"/>
        <color theme="1"/>
        <rFont val="Arial"/>
        <family val="2"/>
      </rPr>
      <t>(€3.9 bn):
• Budget support from the contingency fund to the Ministry of Health (€1 bn); advance transfer to the regions for the regional health services (€2.8 bn); additional funding for research related to the development of drugs and vaccines (€0.1 bn).
• An emergency management process for the procurement of all goods and services needed by the public sector to implement any measure to address the pandemic.</t>
    </r>
  </si>
  <si>
    <r>
      <rPr>
        <b/>
        <sz val="10"/>
        <color theme="1"/>
        <rFont val="Arial"/>
        <family val="2"/>
      </rPr>
      <t>Health spending (£5 bn):</t>
    </r>
    <r>
      <rPr>
        <sz val="10"/>
        <color theme="1"/>
        <rFont val="Arial"/>
        <family val="2"/>
      </rPr>
      <t xml:space="preserve">
• Additional funding for the National Health Service, including to expand the number of hospital beds, medical staff and equipment. 
</t>
    </r>
    <r>
      <rPr>
        <b/>
        <sz val="10"/>
        <color theme="1"/>
        <rFont val="Arial"/>
        <family val="2"/>
      </rPr>
      <t>Revenue measures:</t>
    </r>
    <r>
      <rPr>
        <sz val="10"/>
        <color theme="1"/>
        <rFont val="Arial"/>
        <family val="2"/>
      </rPr>
      <t xml:space="preserve">
• Waiver of VAT and duties on critical medical imports.</t>
    </r>
  </si>
  <si>
    <r>
      <rPr>
        <b/>
        <sz val="10"/>
        <color theme="1"/>
        <rFont val="Arial"/>
        <family val="2"/>
      </rPr>
      <t>Additional spending:</t>
    </r>
    <r>
      <rPr>
        <sz val="10"/>
        <color theme="1"/>
        <rFont val="Arial"/>
        <family val="2"/>
      </rPr>
      <t xml:space="preserve">
• Cash handout to affected households (JPY 300,000 per eligible household) (JPY 4.0 tn).
• Lump-sum transfer to affected firms (JPY 2 mn per firm for SMEs, JPY 1 mn for the self-employed) (JPY 2.3 tn).
• Subsidies for public/private financial institutions' lending (JPY 3.8 tn)
• Measures to accelerate recovery and rebuild resilient economic structure such as incentive measures for consumption in affected service sectors and infrastructure investments (in the post-containment phase) (JPY 10.8 tn). 
</t>
    </r>
    <r>
      <rPr>
        <b/>
        <sz val="10"/>
        <color theme="1"/>
        <rFont val="Arial"/>
        <family val="2"/>
      </rPr>
      <t xml:space="preserve">Foregone revenue: </t>
    </r>
    <r>
      <rPr>
        <sz val="10"/>
        <color theme="1"/>
        <rFont val="Arial"/>
        <family val="2"/>
      </rPr>
      <t>Reduction of property tax and expansion of the loss carry-back program.</t>
    </r>
  </si>
  <si>
    <r>
      <rPr>
        <b/>
        <sz val="10"/>
        <color theme="1"/>
        <rFont val="Arial"/>
        <family val="2"/>
      </rPr>
      <t xml:space="preserve">Additional spending (KRW 23 tn):
</t>
    </r>
    <r>
      <rPr>
        <sz val="10"/>
        <color theme="1"/>
        <rFont val="Arial"/>
        <family val="2"/>
      </rPr>
      <t>• Support for househol</t>
    </r>
    <r>
      <rPr>
        <sz val="10"/>
        <rFont val="Arial"/>
        <family val="2"/>
      </rPr>
      <t>ds, including employment retention support</t>
    </r>
    <r>
      <rPr>
        <sz val="10"/>
        <color theme="1"/>
        <rFont val="Arial"/>
        <family val="2"/>
      </rPr>
      <t xml:space="preserve">, consumption coupons for the poor, emergency family care support, and cash transfers to bottom 70% of households.
• Support for local communities, including local gift certificates and local government grants for infection prevention. Support for firms, including for wages and finance for small merchants.  
</t>
    </r>
    <r>
      <rPr>
        <b/>
        <sz val="10"/>
        <color theme="1"/>
        <rFont val="Arial"/>
        <family val="2"/>
      </rPr>
      <t xml:space="preserve">Foregone revenue (KRW 2.8 tn): </t>
    </r>
    <r>
      <rPr>
        <sz val="10"/>
        <color theme="1"/>
        <rFont val="Arial"/>
        <family val="2"/>
      </rPr>
      <t xml:space="preserve">Consumption tax cut for auto purchases; temporary corporate/income tax cuts for landlords who reduce commercial rents; VAT reduction for the self-employed; social security contribution cut for households and firms. </t>
    </r>
  </si>
  <si>
    <r>
      <rPr>
        <b/>
        <sz val="10"/>
        <color theme="1"/>
        <rFont val="Arial"/>
        <family val="2"/>
      </rPr>
      <t>Deferred revenue</t>
    </r>
    <r>
      <rPr>
        <sz val="10"/>
        <color theme="1"/>
        <rFont val="Arial"/>
        <family val="2"/>
      </rPr>
      <t>: Tax deferral covering a broad range of taxes for small businesses and the self-employed in medical, tourism, performance, hospitality, and other affected sectors; social security contribution payment deferral for households.</t>
    </r>
  </si>
  <si>
    <r>
      <rPr>
        <b/>
        <sz val="10"/>
        <color theme="1"/>
        <rFont val="Arial"/>
        <family val="2"/>
      </rPr>
      <t xml:space="preserve">Additional spending </t>
    </r>
    <r>
      <rPr>
        <sz val="10"/>
        <color theme="1"/>
        <rFont val="Arial"/>
        <family val="2"/>
      </rPr>
      <t xml:space="preserve">(€10 bn depending on the usage and duration of the measures and could be higher):
• Entitlement of unemployment benefit for workers temporarily laid off under the Temporary Employment Adjustment Schemes owing to the pandemic, with no requirement for prior minimum contribution or reduction of accumulated entitlement. 
• Increased sick pay for COVID-19 infected workers or those quarantined, from 60 to 75 percent of the regulatory base, paid by the Social Security budget; allowance for self-employed workers affected.
• A temporary subsidy for affected household employees and for temporary workers whose contract expires during the state of emergency and are not entitled to collect unemployment benefits; and additional provision of assistance to dependents. 
• Transfer to autonomous communities funding meals for children affected by the school closure; new rental assistance programs for certain vulnerable renters; and extension of the social benefit for energy provision.
</t>
    </r>
    <r>
      <rPr>
        <b/>
        <sz val="10"/>
        <color theme="1"/>
        <rFont val="Arial"/>
        <family val="2"/>
      </rPr>
      <t xml:space="preserve">Forgone revenue: 
</t>
    </r>
    <r>
      <rPr>
        <sz val="10"/>
        <color theme="1"/>
        <rFont val="Arial"/>
        <family val="2"/>
      </rPr>
      <t xml:space="preserve">• Exemptions of social contributions for affected companies that maintain employment, and a 50 percent exemption from employer’s social security contributions for workers with permanent discontinuous contracts in the tourism sector and related activities (from February to June 2020). 
• A 6-month suspension of social security contributions for the self-employed (for April-June), subject to a condition of continued activity in May and June; and more flexibility for workers to access savings from their pension plans.
</t>
    </r>
  </si>
  <si>
    <r>
      <rPr>
        <b/>
        <sz val="10"/>
        <color theme="1"/>
        <rFont val="Arial"/>
        <family val="2"/>
      </rPr>
      <t>Deferred revenue (€14 bn)</t>
    </r>
    <r>
      <rPr>
        <sz val="10"/>
        <color theme="1"/>
        <rFont val="Arial"/>
        <family val="2"/>
      </rPr>
      <t>: deferral of tax payments for small and medium enterprises and self-employed for six months .</t>
    </r>
  </si>
  <si>
    <r>
      <rPr>
        <b/>
        <sz val="10"/>
        <color theme="1"/>
        <rFont val="Arial"/>
        <family val="2"/>
      </rPr>
      <t xml:space="preserve">Additional spending (£60 bn):
</t>
    </r>
    <r>
      <rPr>
        <sz val="10"/>
        <color theme="1"/>
        <rFont val="Arial"/>
        <family val="2"/>
      </rPr>
      <t xml:space="preserve">•  Income support, including a Job Retention Scheme to subsidize furloughed employees' wages and firms' social security contributions; an income support scheme for the self-employed; direct grants for small firms in the most-affected sectors; compensation for paid sick leave; strengthening the social safety net to support vulnerable people (by nearly £7 bn) under the Universal Credit and other benefit schemes; support for renters by increasing the Local Housing Allowance. 
•  International support, with £150 million made available to the IMF’s Catastrophe Containment and Relief Trust. 
</t>
    </r>
    <r>
      <rPr>
        <b/>
        <sz val="10"/>
        <color theme="1"/>
        <rFont val="Arial"/>
        <family val="2"/>
      </rPr>
      <t>Foregone revenue:</t>
    </r>
    <r>
      <rPr>
        <sz val="10"/>
        <color theme="1"/>
        <rFont val="Arial"/>
        <family val="2"/>
      </rPr>
      <t xml:space="preserve"> property tax (business rate) holiday for firms in affected sectors.
</t>
    </r>
  </si>
  <si>
    <r>
      <rPr>
        <b/>
        <sz val="10"/>
        <color theme="1"/>
        <rFont val="Arial"/>
        <family val="2"/>
      </rPr>
      <t>Deferred revenue</t>
    </r>
    <r>
      <rPr>
        <sz val="10"/>
        <color theme="1"/>
        <rFont val="Arial"/>
        <family val="2"/>
      </rPr>
      <t>: Liquidity support, including deferral of income tax for the self employed and VAT payments; Time to Pay arrangements  (tax debt restructuring) for businesses and individuals.</t>
    </r>
  </si>
  <si>
    <r>
      <rPr>
        <b/>
        <sz val="10"/>
        <color theme="1"/>
        <rFont val="Arial"/>
        <family val="2"/>
      </rPr>
      <t>Health spending:</t>
    </r>
    <r>
      <rPr>
        <sz val="10"/>
        <color theme="1"/>
        <rFont val="Arial"/>
        <family val="2"/>
      </rPr>
      <t xml:space="preserve">
• Coronavirus Preparedness and Response Supplemental Appropriations Act (March 6, 2020) approved with $8.3bn for treatments, drugs, and public health measures, of which US$1.25 bn is included for international assistance. 
• Coronavirus Aid, Relief, and Economic Security Act (March 27, 2020) approved $100 bn for hospitals, $1.32 bn for community centers, $4.3 bn for the Center of Disease Control, and $27 bn for vaccine development.</t>
    </r>
  </si>
  <si>
    <r>
      <rPr>
        <b/>
        <sz val="10"/>
        <color theme="1"/>
        <rFont val="Arial"/>
        <family val="2"/>
      </rPr>
      <t>Deferred revenue</t>
    </r>
    <r>
      <rPr>
        <sz val="10"/>
        <color theme="1"/>
        <rFont val="Arial"/>
        <family val="2"/>
      </rPr>
      <t xml:space="preserve">: 
• IRS extended income tax filing deadline by 90 days; employers' payroll taxes are delayed to 2021 and 2022. </t>
    </r>
  </si>
  <si>
    <r>
      <rPr>
        <b/>
        <sz val="10"/>
        <color theme="1"/>
        <rFont val="Arial"/>
        <family val="2"/>
      </rPr>
      <t xml:space="preserve">Additional spending: 
</t>
    </r>
    <r>
      <rPr>
        <sz val="10"/>
        <color theme="1"/>
        <rFont val="Arial"/>
        <family val="2"/>
      </rPr>
      <t xml:space="preserve">• Families First Coronavirus Response Act (March 16, 2020) includes an estimated $83.3 bn for 2 weeks paid sick leave, up to 3 months emergency leave for those infected (at 2/3 pay), food assistance, free virus testing; and federal transfers to states for Medicaid (increased by 6.2% during emergency period); and $1 bn in expanded unemployment insurance.
• Coronavirus Aid, Relief, and Economic Security Act (March 27, 2020) includes, among others, extended unemployment insurance payments ($250 bn); transfers to state and local governments ($150 bn), FEMA disaster relief ($45 bn), food assistance ($24 bn), education funding ($30 bn), and transit funding ($25 bn).
</t>
    </r>
    <r>
      <rPr>
        <b/>
        <sz val="10"/>
        <color theme="1"/>
        <rFont val="Arial"/>
        <family val="2"/>
      </rPr>
      <t xml:space="preserve">Foregone revenue: </t>
    </r>
    <r>
      <rPr>
        <sz val="10"/>
        <color theme="1"/>
        <rFont val="Arial"/>
        <family val="2"/>
      </rPr>
      <t xml:space="preserve">
• Tax rebates ($250 bn) of $1,200 for singles/$2,400 for married couples filing jointly and $500 per qualifying child, employee retention tax credit ($50 bn).
</t>
    </r>
  </si>
  <si>
    <r>
      <rPr>
        <b/>
        <sz val="10"/>
        <color theme="1"/>
        <rFont val="Arial"/>
        <family val="2"/>
      </rPr>
      <t>Health spending:</t>
    </r>
    <r>
      <rPr>
        <sz val="10"/>
        <color theme="1"/>
        <rFont val="Arial"/>
        <family val="2"/>
      </rPr>
      <t xml:space="preserve">
• Budget increase for Health Ministry, including for improvements in virus diagnostics, purchases of hospital equipment; and construction of temporary emergency treatment centers.</t>
    </r>
  </si>
  <si>
    <r>
      <rPr>
        <b/>
        <sz val="10"/>
        <rFont val="Arial"/>
        <family val="2"/>
      </rPr>
      <t xml:space="preserve">Additional spending </t>
    </r>
    <r>
      <rPr>
        <sz val="10"/>
        <rFont val="Arial"/>
        <family val="2"/>
      </rPr>
      <t>(AR $290 bn):</t>
    </r>
    <r>
      <rPr>
        <b/>
        <sz val="10"/>
        <rFont val="Arial"/>
        <family val="2"/>
      </rPr>
      <t xml:space="preserve">
</t>
    </r>
    <r>
      <rPr>
        <sz val="10"/>
        <rFont val="Arial"/>
        <family val="2"/>
      </rPr>
      <t xml:space="preserve">• Support for workers and vulnerable groups, including through increased transfers to poor families, increased social security benefits (especially to low-income beneficiaries), higher unemployment insurance benefits, and payments to minimum-wage workers.
• Demand support, including spending on public works. </t>
    </r>
    <r>
      <rPr>
        <b/>
        <sz val="10"/>
        <rFont val="Arial"/>
        <family val="2"/>
      </rPr>
      <t xml:space="preserve">
Foregone revenue </t>
    </r>
    <r>
      <rPr>
        <sz val="10"/>
        <rFont val="Arial"/>
        <family val="2"/>
      </rPr>
      <t xml:space="preserve">(AR$ 60bn):
• Support for hard-hit sectors, including an exemption from social security contributions. </t>
    </r>
    <r>
      <rPr>
        <b/>
        <sz val="10"/>
        <rFont val="Arial"/>
        <family val="2"/>
      </rPr>
      <t xml:space="preserve">
</t>
    </r>
  </si>
  <si>
    <r>
      <rPr>
        <b/>
        <sz val="10"/>
        <rFont val="Arial"/>
        <family val="2"/>
      </rPr>
      <t>Deferred revenue</t>
    </r>
    <r>
      <rPr>
        <sz val="10"/>
        <rFont val="Arial"/>
        <family val="2"/>
      </rPr>
      <t>:
• Extension of the grace period of repayment of loans granted by the Social Security to retirees and beneficiaries of non-contributory pensions.</t>
    </r>
  </si>
  <si>
    <r>
      <rPr>
        <b/>
        <sz val="10"/>
        <color theme="1"/>
        <rFont val="Arial"/>
        <family val="2"/>
      </rPr>
      <t>Health spending:</t>
    </r>
    <r>
      <rPr>
        <sz val="10"/>
        <color theme="1"/>
        <rFont val="Arial"/>
        <family val="2"/>
      </rPr>
      <t xml:space="preserve">
• Additional funding for the public health system to fight the disease (R$ 8 bn), including from the reallocation of funds originating from mandatory car insurance (R$ 4.5 bn). 
• Access to 20 percent of the Health Guarantee Fund resources (about US$ 2 bn) to provide the private health insurance companies with funding for investment in assistance infrastructure.
</t>
    </r>
    <r>
      <rPr>
        <b/>
        <sz val="10"/>
        <color theme="1"/>
        <rFont val="Arial"/>
        <family val="2"/>
      </rPr>
      <t xml:space="preserve">Revenue measures: </t>
    </r>
    <r>
      <rPr>
        <sz val="10"/>
        <color theme="1"/>
        <rFont val="Arial"/>
        <family val="2"/>
      </rPr>
      <t xml:space="preserve">Temporary tax cuts/exemption on health products to fight covid-19. </t>
    </r>
  </si>
  <si>
    <r>
      <rPr>
        <b/>
        <sz val="10"/>
        <color theme="1"/>
        <rFont val="Arial"/>
        <family val="2"/>
      </rPr>
      <t xml:space="preserve">Additional spending:
</t>
    </r>
    <r>
      <rPr>
        <sz val="10"/>
        <color theme="1"/>
        <rFont val="Arial"/>
        <family val="2"/>
      </rPr>
      <t>• Temporary income support to vulnerable households (2 percent of GDP), including advance social benefit payments to pensioners and wage bonuses to low income workers, expanding the Bolsa Familia program with the inclusion of over 1 million more beneficiaries, introducing a new “Covid-19” voucher payment of BRL600 a month (USD40) to 30 million poor families for the next three months, partial unemployment insurance benefits for workers with reduced hours or wages, reallocating resources to the workers’ severance fund (FGTS) to facilitate new withdrawals.</t>
    </r>
  </si>
  <si>
    <r>
      <rPr>
        <b/>
        <sz val="10"/>
        <color theme="1"/>
        <rFont val="Arial"/>
        <family val="2"/>
      </rPr>
      <t>Deferred revenue</t>
    </r>
    <r>
      <rPr>
        <sz val="10"/>
        <color theme="1"/>
        <rFont val="Arial"/>
        <family val="2"/>
      </rPr>
      <t>: Payment of employers’ contributions to the FGTS and small business taxes will be postponed by 3 months. Small businesses will also be given a temporary reduction in non FGTS type of employer contributions. These measures will add up to 0.8 percent of GDP.</t>
    </r>
  </si>
  <si>
    <r>
      <rPr>
        <b/>
        <sz val="10"/>
        <color theme="1"/>
        <rFont val="Arial"/>
        <family val="2"/>
      </rPr>
      <t>Health spending:</t>
    </r>
    <r>
      <rPr>
        <sz val="10"/>
        <color theme="1"/>
        <rFont val="Arial"/>
        <family val="2"/>
      </rPr>
      <t xml:space="preserve">
• Expenditure to improve epidemic prevention and control and the national public health emergency management system.
</t>
    </r>
    <r>
      <rPr>
        <b/>
        <sz val="10"/>
        <color theme="1"/>
        <rFont val="Arial"/>
        <family val="2"/>
      </rPr>
      <t>Revenue measures:</t>
    </r>
    <r>
      <rPr>
        <sz val="10"/>
        <color theme="1"/>
        <rFont val="Arial"/>
        <family val="2"/>
      </rPr>
      <t xml:space="preserve">
• Tariffs were exempted for the import of medicines, medical supplies, and other vehicles used to fight against the outbreak.</t>
    </r>
  </si>
  <si>
    <r>
      <rPr>
        <b/>
        <sz val="10"/>
        <rFont val="Arial"/>
        <family val="2"/>
      </rPr>
      <t xml:space="preserve">Additional spending:
</t>
    </r>
    <r>
      <rPr>
        <sz val="10"/>
        <rFont val="Arial"/>
        <family val="2"/>
      </rPr>
      <t>• Front-loaded government spending possibly on infrastructure and through issuance of special local government bonds. 
• A refund of 2019 unemployment insurance premiums for companies that minimize layoffs.</t>
    </r>
    <r>
      <rPr>
        <b/>
        <sz val="10"/>
        <rFont val="Arial"/>
        <family val="2"/>
      </rPr>
      <t xml:space="preserve">
Foregone revenue:
</t>
    </r>
    <r>
      <rPr>
        <sz val="10"/>
        <rFont val="Arial"/>
        <family val="2"/>
      </rPr>
      <t xml:space="preserve">•  VAT exemptions for a wide range of goods and services related to epidemic control, as well as for small taxpayers in Hubei; and VAT rate cut from 3% to 1% in other regions for 3 months. 
• Corporate income tax relief for businesses in affected sectors through a longer tax loss carryover period to 8 years or one-off 100 percent expensing deduction for investment in equipment to expand production capacity.
• Social security contributions by employers in Hubei province and SMEs (50 percent for large firms) in the other provinces are waived until June (April). </t>
    </r>
    <r>
      <rPr>
        <b/>
        <sz val="10"/>
        <rFont val="Arial"/>
        <family val="2"/>
      </rPr>
      <t xml:space="preserve">
</t>
    </r>
  </si>
  <si>
    <r>
      <rPr>
        <b/>
        <sz val="10"/>
        <rFont val="Arial"/>
        <family val="2"/>
      </rPr>
      <t>Deferred revenue</t>
    </r>
    <r>
      <rPr>
        <sz val="10"/>
        <rFont val="Arial"/>
        <family val="2"/>
      </rPr>
      <t>: Firms are also allowed to defer their social security payments by 6 months, and the due date for contributing to the “housing provident fund” is extended to end-June.</t>
    </r>
  </si>
  <si>
    <r>
      <rPr>
        <b/>
        <sz val="10"/>
        <color theme="1"/>
        <rFont val="Arial"/>
        <family val="2"/>
      </rPr>
      <t>Health spending (Rs 0.15 tn):</t>
    </r>
    <r>
      <rPr>
        <sz val="10"/>
        <color theme="1"/>
        <rFont val="Arial"/>
        <family val="2"/>
      </rPr>
      <t xml:space="preserve">
• Additional spending on health infrastructure, including for COVID-19 testing facilities, personal protective equipment, isolation beds, ICU beds, and ventilators.</t>
    </r>
  </si>
  <si>
    <r>
      <rPr>
        <b/>
        <sz val="10"/>
        <rFont val="Arial"/>
        <family val="2"/>
      </rPr>
      <t xml:space="preserve">Additional spending (Rs 1.42 tn):
</t>
    </r>
    <r>
      <rPr>
        <sz val="10"/>
        <rFont val="Arial"/>
        <family val="2"/>
      </rPr>
      <t xml:space="preserve">• The central government has announced a package that provides insurance coverage for workers in the healthcare sector, substantial in-kind (food; cooking gas) and cash transfers, as well as wage support to poor households (in some cases for those still working, and in other cases by easing the criteria for receiving benefits in the event of job loss). These measures sum to about 0.6 percent of GDP, per IMF staff estimates. Increases in fuel excise taxes announced in early March (0.2 percent of GDP) will partly finance these measures. 
• The state of Kerala has announced a package (0.1 percent of national GDP), including Rs 110bn of arrears paid, Rs 14bn advanced pensions, Rs 20bn loans to women, Rs 20bn front-loaded rural jobs, 2 times Rs 1000 per month to 10mn poor without pensions. Numerous other states have also announced stimulus packages, mainly in the form of cash- and in-kind transfers to poor households (cumulatively about 0.1 percent of national GDP).
• The central government has directed states to make allocations to low-wage construction workers from an existing pool of resources (0.2 percent of GDP). </t>
    </r>
  </si>
  <si>
    <r>
      <rPr>
        <b/>
        <sz val="10"/>
        <rFont val="Arial"/>
        <family val="2"/>
      </rPr>
      <t>Deferred revenue</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t>
    </r>
  </si>
  <si>
    <r>
      <rPr>
        <b/>
        <sz val="10"/>
        <color theme="1"/>
        <rFont val="Arial"/>
        <family val="2"/>
      </rPr>
      <t>Health spending (IDR 76 tn):</t>
    </r>
    <r>
      <rPr>
        <sz val="10"/>
        <color theme="1"/>
        <rFont val="Arial"/>
        <family val="2"/>
      </rPr>
      <t xml:space="preserve">
• IDR 1 tn initially allocated to cover various outlays, including personal protective equipment, enhanced surveillance at entry gates to Indonesia, hospital treatment, and hospital infrastructure. 
• On March 31, 2020, the government announced a third larger fiscal package, including IDR75 tn (0.5 percent of GDP) for health spending to boost testing and treatment capability, including the acquisition of personal protective equipment, test kits, ventilators, and the upgrade of 132 referral hospitals to handle COVID-19 patients.</t>
    </r>
  </si>
  <si>
    <r>
      <rPr>
        <b/>
        <sz val="10"/>
        <rFont val="Arial"/>
        <family val="2"/>
      </rPr>
      <t>Additional spending:</t>
    </r>
    <r>
      <rPr>
        <sz val="10"/>
        <rFont val="Arial"/>
        <family val="2"/>
      </rPr>
      <t xml:space="preserve">
• The first fiscal package of IDR10.3 tn comprises support to the tourism sector (tax cuts and discounts on airplane tickets and jet-fuel) and to low-income households (social assistance and subsidy for home buyers) starting from March 1 for most measures. 
• The third fiscal package includes IDR110 tn (0.7 percent of GDP) additional social assistance spending, including increasing benefits and coverage of existing social safety nets such as food aid and unemployment benefits, and electricity subsidies.</t>
    </r>
    <r>
      <rPr>
        <b/>
        <sz val="10"/>
        <rFont val="Arial"/>
        <family val="2"/>
      </rPr>
      <t xml:space="preserve">
Foregone revenue: 
</t>
    </r>
    <r>
      <rPr>
        <sz val="10"/>
        <rFont val="Arial"/>
        <family val="2"/>
      </rPr>
      <t>• Tax cuts for the tourism sector.
• The second fiscal package of IDR33.2 tn includes income tax exemptions to workers in the industrial sectors (with an income ceiling) and support to businesses through delayed payments for income tax and acceleration in VAT refund from April to September.
• The third package also includes various tax reliefs and incentives, including exemption and reduction of income taxes (with an income ceiling) and a reduction of the corporate income tax from 25 percent to 22 percent.</t>
    </r>
  </si>
  <si>
    <r>
      <rPr>
        <b/>
        <sz val="10"/>
        <color theme="1"/>
        <rFont val="Arial"/>
        <family val="2"/>
      </rPr>
      <t>Health spending</t>
    </r>
    <r>
      <rPr>
        <sz val="10"/>
        <color theme="1"/>
        <rFont val="Arial"/>
        <family val="2"/>
      </rPr>
      <t>: Set-up a Health Emergency Fund to request additional resources from Congress, that could reach up to 180 bn pesos (0.7 percent of 2019 GDP).</t>
    </r>
  </si>
  <si>
    <r>
      <rPr>
        <b/>
        <sz val="10"/>
        <rFont val="Arial"/>
        <family val="2"/>
      </rPr>
      <t>Accelerated spending:</t>
    </r>
    <r>
      <rPr>
        <sz val="10"/>
        <rFont val="Arial"/>
        <family val="2"/>
      </rPr>
      <t xml:space="preserve">
· Social pension and disability payments have been frontloaded by four months.
· Procurement processes and VAT refunds are to be accelerated.</t>
    </r>
  </si>
  <si>
    <r>
      <rPr>
        <b/>
        <sz val="10"/>
        <color theme="1"/>
        <rFont val="Arial"/>
        <family val="2"/>
      </rPr>
      <t>Health spending:</t>
    </r>
    <r>
      <rPr>
        <sz val="10"/>
        <color theme="1"/>
        <rFont val="Arial"/>
        <family val="2"/>
      </rPr>
      <t xml:space="preserve"> 
• Increased salaries for medical staff, and also for health and safety inspectors (staff of the Federal Service for Surveillance on Consumer Rights Protection and Human Wellbeing).
• Bonus fund of RUB 11.8 bn for medical staff dealing with COVID-19.
• Over RUB 23 bn from the government's reserve fund disbursed for public procurement of coronavirus-related supplies.
• The government allocated RUB 8.8 bn to the Ministry of Defense to construct 16 infection hospitals for military staff.
• The government disbursed RUB 1.4 bn from its reserve fund for R&amp;D on diagnostics and prevention of COVID-19.
• The government allocated RUB 33.4 bn to 77 regions for additional Coronavirus beds and equipment.</t>
    </r>
  </si>
  <si>
    <r>
      <rPr>
        <b/>
        <sz val="10"/>
        <color theme="1"/>
        <rFont val="Arial"/>
        <family val="2"/>
      </rPr>
      <t xml:space="preserve">Additional spending:  </t>
    </r>
    <r>
      <rPr>
        <sz val="10"/>
        <color theme="1"/>
        <rFont val="Arial"/>
        <family val="2"/>
      </rPr>
      <t xml:space="preserve">
• Quarantined or self-isolating individuals to receive sick leave benefits from the Social Insurance Fund. 
• Interest rate subsidies for SMEs.
• All children up to 3 years of age in families eligible for maternity capital to receive an additional RUB 5,000 for 3 months; earlier announced expansion of child benefits to children aged 3-7 to start in June, rather than July.
• Sick leave pay to equal at least the minimum wage until the end of 2020.
• Cap on unemployment benefits raised to the minimum wage until the end of 2020. </t>
    </r>
    <r>
      <rPr>
        <b/>
        <sz val="10"/>
        <color theme="1"/>
        <rFont val="Arial"/>
        <family val="2"/>
      </rPr>
      <t xml:space="preserve">
Foregone revenue: 
</t>
    </r>
    <r>
      <rPr>
        <sz val="10"/>
        <color theme="1"/>
        <rFont val="Arial"/>
        <family val="2"/>
      </rPr>
      <t xml:space="preserve">• Social contributions on wages in excess of the minimum wage by SMEs reduced from 30 to 15 percent, permanently.  
• Tourism companies not to pay contributions to the tourist sector reserve fund.
</t>
    </r>
  </si>
  <si>
    <r>
      <rPr>
        <b/>
        <sz val="10"/>
        <color theme="1"/>
        <rFont val="Arial"/>
        <family val="2"/>
      </rPr>
      <t>Deferred revenue</t>
    </r>
    <r>
      <rPr>
        <sz val="10"/>
        <color theme="1"/>
        <rFont val="Arial"/>
        <family val="2"/>
      </rPr>
      <t xml:space="preserve">:
• Tax holiday until May 1 for SMEs and affected industries (tourism, aviation, sports, art, culture, cinema).
• 3-month grace periods for SME payments of social contributions.
• Tax holiday for 6 months for all taxes (except VAT) for all SMEs in affected sectors. </t>
    </r>
  </si>
  <si>
    <r>
      <rPr>
        <b/>
        <sz val="10"/>
        <color theme="1"/>
        <rFont val="Arial"/>
        <family val="2"/>
      </rPr>
      <t xml:space="preserve">Health spending: </t>
    </r>
    <r>
      <rPr>
        <sz val="10"/>
        <color theme="1"/>
        <rFont val="Arial"/>
        <family val="2"/>
      </rPr>
      <t xml:space="preserve">
• Budget reallocation within the Ministry of Health budget for emergency spending to fight COVID19.</t>
    </r>
  </si>
  <si>
    <r>
      <rPr>
        <b/>
        <sz val="10"/>
        <color theme="1"/>
        <rFont val="Arial"/>
        <family val="2"/>
      </rPr>
      <t xml:space="preserve">Additional spending: </t>
    </r>
    <r>
      <rPr>
        <sz val="10"/>
        <color theme="1"/>
        <rFont val="Arial"/>
        <family val="2"/>
      </rPr>
      <t xml:space="preserve">reallocated from lower priority areas (SAR 50 bn, 1.9 percent of GDP) to be spent on </t>
    </r>
    <r>
      <rPr>
        <sz val="10"/>
        <color rgb="FFFF0000"/>
        <rFont val="Arial"/>
        <family val="2"/>
      </rPr>
      <t>X</t>
    </r>
    <r>
      <rPr>
        <sz val="10"/>
        <color theme="1"/>
        <rFont val="Arial"/>
        <family val="2"/>
      </rPr>
      <t xml:space="preserve">.
</t>
    </r>
  </si>
  <si>
    <r>
      <rPr>
        <b/>
        <sz val="10"/>
        <color theme="1"/>
        <rFont val="Arial"/>
        <family val="2"/>
      </rPr>
      <t>Deferred revenue</t>
    </r>
    <r>
      <rPr>
        <sz val="10"/>
        <color theme="1"/>
        <rFont val="Arial"/>
        <family val="2"/>
      </rPr>
      <t>:
• SAR 48bn for deferred declaration &amp; payment of taxes for 3 months, waiver of customs duties (30 days to 3 months), waiver of expat fees for 3 months; and  waiver of municipal fees on companies for 3 months.</t>
    </r>
  </si>
  <si>
    <r>
      <rPr>
        <b/>
        <sz val="10"/>
        <rFont val="Arial"/>
        <family val="2"/>
      </rPr>
      <t xml:space="preserve">Additional spending: </t>
    </r>
    <r>
      <rPr>
        <sz val="10"/>
        <rFont val="Arial"/>
        <family val="2"/>
      </rPr>
      <t>Allocations from the Departments of Small Business Development and the Department of Tourism of R700 million made available to assist small and medium enterprises that are in distress including in tourism and hospitality sectors.</t>
    </r>
    <r>
      <rPr>
        <b/>
        <sz val="10"/>
        <rFont val="Arial"/>
        <family val="2"/>
      </rPr>
      <t xml:space="preserve">
Foregone revenue: </t>
    </r>
    <r>
      <rPr>
        <sz val="10"/>
        <rFont val="Arial"/>
        <family val="2"/>
      </rPr>
      <t>Tax subsidy of up to R500 per month for the next four months for those private sector employees earning below R6,500 under the Employment Tax Incentive.</t>
    </r>
  </si>
  <si>
    <r>
      <rPr>
        <b/>
        <sz val="10"/>
        <rFont val="Arial"/>
        <family val="2"/>
      </rPr>
      <t>Deferred revenue</t>
    </r>
    <r>
      <rPr>
        <sz val="10"/>
        <rFont val="Arial"/>
        <family val="2"/>
      </rPr>
      <t>:
• Revenue authority (SARS) to accelerate reimbursements and tax credits, changing from twice yearly payments to monthly.
• Firms with less than ZAR50 million turnover will be allowed to defer 20 percent of PAYE liabilities for four months and an unknown portion of corporate income tax payments for six months.</t>
    </r>
  </si>
  <si>
    <r>
      <rPr>
        <b/>
        <sz val="10"/>
        <rFont val="Arial"/>
        <family val="2"/>
      </rPr>
      <t xml:space="preserve">Additional spending: 
</t>
    </r>
    <r>
      <rPr>
        <sz val="10"/>
        <rFont val="Arial"/>
        <family val="2"/>
      </rPr>
      <t xml:space="preserve">• Raising minimum pension and cash assistance to families in need; direct support to Turkish Airlines and other affected entities; and income support to employees in workplaces that suspend activities (short-term work allowance).
</t>
    </r>
    <r>
      <rPr>
        <b/>
        <sz val="10"/>
        <rFont val="Arial"/>
        <family val="2"/>
      </rPr>
      <t xml:space="preserve">
Foregone revenue: 
</t>
    </r>
    <r>
      <rPr>
        <sz val="10"/>
        <rFont val="Arial"/>
        <family val="2"/>
      </rPr>
      <t>• Reduced taxes for affected industries (particularly tourism).</t>
    </r>
  </si>
  <si>
    <r>
      <rPr>
        <b/>
        <sz val="10"/>
        <rFont val="Arial"/>
        <family val="2"/>
      </rPr>
      <t xml:space="preserve">Deferred revenue: </t>
    </r>
    <r>
      <rPr>
        <sz val="10"/>
        <rFont val="Arial"/>
        <family val="2"/>
      </rPr>
      <t xml:space="preserve">
• Postponed taxes for affected industries (particularly tourism); and extension of personal and corporate income tax filing deadlines.</t>
    </r>
  </si>
  <si>
    <t>Equity injections, asset purchases, loans, debt assumptions, including through extra-budgetary funds</t>
  </si>
  <si>
    <t>Explicit contingent liabilities, including guarantees on loans</t>
  </si>
  <si>
    <t>Implicit contingent liabilities, including quasi-fiscal operations</t>
  </si>
  <si>
    <r>
      <t xml:space="preserve">• Expanded credit line for SMEs to hire new workers and maintain existing employment (R $5 bn).
• Temporary suspension of debt service payments from state governments to the federal government (R $12.6 bn). 
</t>
    </r>
    <r>
      <rPr>
        <sz val="10"/>
        <color rgb="FFFF0000"/>
        <rFont val="Arial"/>
        <family val="2"/>
      </rPr>
      <t>• Public banks announced credit lines totaling R $245 bn.</t>
    </r>
  </si>
  <si>
    <r>
      <t xml:space="preserve">• </t>
    </r>
    <r>
      <rPr>
        <sz val="10"/>
        <color theme="1"/>
        <rFont val="Arial"/>
        <family val="2"/>
      </rPr>
      <t xml:space="preserve">The government boosted special financing and guarantees primarily for micro, small and medium-sized business operators affected by COVID-19 through the Japan Finance Corporation and other institutions (JPY 45 tn).
</t>
    </r>
    <r>
      <rPr>
        <sz val="10"/>
        <color rgb="FFFF0000"/>
        <rFont val="Arial"/>
        <family val="2"/>
      </rPr>
      <t>• Other off-budget operations using the Development Bank of Japan and other agencies (primarily for infrastructure projects in the post-containment phase) (JPY 8 tn)</t>
    </r>
  </si>
  <si>
    <r>
      <t xml:space="preserve">• Small- and medium-scale enterprises (SMEs) could receive up to 25 bn pesos (0.1 percent of GDP) in loans.
</t>
    </r>
    <r>
      <rPr>
        <sz val="10"/>
        <color rgb="FFFF0000"/>
        <rFont val="Arial"/>
        <family val="2"/>
      </rPr>
      <t>• Development banks could provide liquidity support of about 0.2 percent of GDP</t>
    </r>
  </si>
  <si>
    <r>
      <t xml:space="preserve">• Subsidized and guaranteed loans for SMEs, retailers, and distributors. 
• Government loans to assist debt restructuring by regions (RUB 70 bn). 
• Recapitalization of leasing firms due to potential problems of their clients in the transportation sector. 
</t>
    </r>
    <r>
      <rPr>
        <sz val="10"/>
        <color rgb="FFFF0000"/>
        <rFont val="Arial"/>
        <family val="2"/>
      </rPr>
      <t>• The Central Bank of Russia (CBR) has put in place, a new lending facility with a refinancing limit of 500 bn rubles, with a view to shoring up SME lending. Up to 150 bn rubles will be allocated to support bank lending to SMEs to ensure the uninterrupted fulfillment of their obligation to pay wages to their staff.</t>
    </r>
  </si>
  <si>
    <r>
      <t xml:space="preserve">• South Africa’s extra-budgetary Unemployment Insurance Fund made R30 bn available to support unemployed workers. The money will compensate workers for layoffs of as long as three months if companies are struggling to stay profitable.
•  A Solidarity Fund, with an initial government transfer of R150 million. Most of the funds are expected to come from private donations.
</t>
    </r>
    <r>
      <rPr>
        <sz val="10"/>
        <color rgb="FFFF0000"/>
        <rFont val="Arial"/>
        <family val="2"/>
      </rPr>
      <t>• Industrial funding package to fast-track financing for companies including those that are critical in the fight against Covid-19 provided by the Industrial Development Corporation (IDC).</t>
    </r>
  </si>
  <si>
    <t>Total off-budget</t>
  </si>
  <si>
    <t>Additional fiscal measures since April 8</t>
  </si>
  <si>
    <t>Current</t>
  </si>
  <si>
    <t>Additional</t>
  </si>
  <si>
    <t xml:space="preserve">New measures for SMEs. </t>
  </si>
  <si>
    <t xml:space="preserve">Additional measures of 2 percent of GDP but netting out the tax deferrals (5 percent of GDP). </t>
  </si>
  <si>
    <t xml:space="preserve">Mexico </t>
  </si>
  <si>
    <t xml:space="preserve">New package that is estimated to be 2.5 percent of GDP relative to 0.8 previously announced. </t>
  </si>
  <si>
    <t xml:space="preserve">US </t>
  </si>
  <si>
    <t>Treasury backstop of Fed's liquidity measures</t>
  </si>
  <si>
    <t>Senate new package</t>
  </si>
  <si>
    <t>Subtotal</t>
  </si>
  <si>
    <t>European Union</t>
  </si>
  <si>
    <t>The first pillar €240 billion of loans to euro area governments from the ESM under a new, conditionality-light facility to support healthcare costs.</t>
  </si>
  <si>
    <t>The second pillar is €100 billion of loans to EU governments to protect jobs</t>
  </si>
  <si>
    <t>A third pillar is €200 billion of guarantees to viable EU firms from the European Investment Bank.</t>
  </si>
  <si>
    <t>Total if including EU</t>
  </si>
  <si>
    <t>New spending measures 25 bn euro and liquidity 3bn euro since April 8 (latest survey)</t>
  </si>
  <si>
    <t xml:space="preserve">New measures of spending 17bn and liquidity 20bn euro (memo but partly reflected in Apr 8 numbers). </t>
  </si>
  <si>
    <t>USD Billion</t>
  </si>
  <si>
    <t>Sum of Total Health and Non-Health Cost: Desk Input</t>
  </si>
  <si>
    <t>Sum of Health Sector Total Expense</t>
  </si>
  <si>
    <t>Sum of Total Below-the-line</t>
  </si>
  <si>
    <t>Sum of Total Guarantee</t>
  </si>
  <si>
    <t>country for lookup</t>
  </si>
  <si>
    <t>Special Feature</t>
  </si>
  <si>
    <t>ABL: Total Health + Non-health</t>
  </si>
  <si>
    <t>ABL: Health</t>
  </si>
  <si>
    <t>Below-the-line</t>
  </si>
  <si>
    <t>Guarantee</t>
  </si>
  <si>
    <t>Survey (04/24)</t>
  </si>
  <si>
    <t>Difference (SF - Survey)</t>
  </si>
  <si>
    <t>Survey (04/08)</t>
  </si>
  <si>
    <t>Difference</t>
  </si>
  <si>
    <t/>
  </si>
  <si>
    <t>Korea, Republic of</t>
  </si>
  <si>
    <t>China, P.R.: Mainland</t>
  </si>
  <si>
    <t>Russian Federation</t>
  </si>
  <si>
    <t>Percent of GDP</t>
  </si>
  <si>
    <t>Average of Total Health and Non-Health Cost: Desk Input</t>
  </si>
  <si>
    <t>Average of Health Sector Total Expense</t>
  </si>
  <si>
    <t>Average of Total Below-the-line</t>
  </si>
  <si>
    <t>Average of Total Guarantee</t>
  </si>
  <si>
    <t>Have large difference when both have numbers (&gt;1% of GDP)</t>
  </si>
  <si>
    <t>Have numbers in SF, but not in Survey</t>
  </si>
  <si>
    <t>Have  numbers in Survey, but not in SF</t>
  </si>
  <si>
    <t>The Special Feature Online Annex summarizes key fiscal measures governments have announced or taken in selected economies in response to the COVID-19 pandemic from January 1 to April 26, 2020. The Special Feature categorizes different types of fiscal support (for example, above-the-line and below-the line measures, and guarantees) that have different implications for public finances in the near term and beyond. Please refer to Box 1.1 of the April 2020 Fiscal Monitor for details. The Special Feature is not meant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(https://www.imf.org/en/Topics/imf-and-covid19/Policy-Responses-to-COVID-19) for information on a broader range of economies and their monetary and financial policies.</t>
  </si>
  <si>
    <t>Online Annex Table 1.1. Selected Fiscal Measures in Response to the COVID-19 Pandemic (as of April 26 2020)</t>
  </si>
  <si>
    <r>
      <t xml:space="preserve">• Expanded credit line for SMEs to hire new workers and maintain existing employment (R $5 bn).
• Temporary suspension of debt service payments from state governments to the federal government (R $12.6 bn). 
</t>
    </r>
    <r>
      <rPr>
        <sz val="10"/>
        <color rgb="FFFF0000"/>
        <rFont val="Arial"/>
        <family val="2"/>
      </rPr>
      <t>• Public banks announced credit lines totaling R $212 bn.</t>
    </r>
  </si>
  <si>
    <t>• The third fiscal package includes IDR 150 tn (0.9 percent of GDP) financing for a national economic program.</t>
  </si>
  <si>
    <t>The Treasury will guarantee up to 200 billion rand in loans where also the banks are taking part of the risk to help businesses below a certain turnover threshold pay operating expenses including salaries, suppliers etc.</t>
  </si>
  <si>
    <t>• Government support for immediate cash flow needs of SMEs provides a loan guarantee arrangement between the Government and participating banks to cover the immediate cash flow needs of SMEs.</t>
  </si>
  <si>
    <t>REVISED</t>
  </si>
  <si>
    <r>
      <rPr>
        <b/>
        <sz val="10"/>
        <color theme="1"/>
        <rFont val="Arial"/>
        <family val="2"/>
      </rPr>
      <t xml:space="preserve">Health spending (€8 bn): </t>
    </r>
    <r>
      <rPr>
        <sz val="10"/>
        <color theme="1"/>
        <rFont val="Arial"/>
        <family val="2"/>
      </rPr>
      <t>Support for streamlining and boosting health insurance for the sick or their caregivers, and higher spending on health supplies.</t>
    </r>
  </si>
  <si>
    <r>
      <rPr>
        <b/>
        <sz val="10"/>
        <color theme="1"/>
        <rFont val="Arial"/>
        <family val="2"/>
      </rPr>
      <t xml:space="preserve">Health spending (CAD4 bn): </t>
    </r>
    <r>
      <rPr>
        <sz val="10"/>
        <color theme="1"/>
        <rFont val="Arial"/>
        <family val="2"/>
      </rPr>
      <t>Support to the health system including for increased testing, vaccine development, medical supplies, mitigation efforts; and greater support for Indigenous communities.</t>
    </r>
  </si>
  <si>
    <r>
      <rPr>
        <b/>
        <sz val="10"/>
        <rFont val="Arial"/>
        <family val="2"/>
      </rPr>
      <t xml:space="preserve">Additional spending: 
</t>
    </r>
    <r>
      <rPr>
        <sz val="10"/>
        <rFont val="Arial"/>
        <family val="2"/>
      </rPr>
      <t xml:space="preserve">• Raising minimum pension and cash assistance to families in need; direct support to Turkish Airlines and other affected entities; and income support to employees in workplaces that suspend activities (short-term work allowance). Additiona spending for the protection of jobs and creation of jobs. 
</t>
    </r>
    <r>
      <rPr>
        <b/>
        <sz val="10"/>
        <rFont val="Arial"/>
        <family val="2"/>
      </rPr>
      <t xml:space="preserve">
Foregone revenue: 
</t>
    </r>
    <r>
      <rPr>
        <sz val="10"/>
        <rFont val="Arial"/>
        <family val="2"/>
      </rPr>
      <t>• Reduced taxes for affected industries (particularly tourism).</t>
    </r>
  </si>
  <si>
    <r>
      <rPr>
        <b/>
        <sz val="10"/>
        <rFont val="Arial"/>
        <family val="2"/>
      </rPr>
      <t>Deferred revenue</t>
    </r>
    <r>
      <rPr>
        <sz val="10"/>
        <rFont val="Arial"/>
        <family val="2"/>
      </rPr>
      <t xml:space="preserve">:
• Revenue authority (SARS) to accelerate reimbursements and tax credits, changing from twice yearly payments to monthly.
• Firms with less than ZAR50 million turnover will be allowed to defer 20 percent of PAYE liabilities for four months and an unknown portion of corporate income tax payments for six months.
</t>
    </r>
    <r>
      <rPr>
        <sz val="10"/>
        <rFont val="Symbol"/>
        <family val="1"/>
        <charset val="2"/>
      </rPr>
      <t>·</t>
    </r>
    <r>
      <rPr>
        <sz val="6"/>
        <rFont val="Arial"/>
        <family val="2"/>
      </rPr>
      <t xml:space="preserve"> </t>
    </r>
    <r>
      <rPr>
        <sz val="10"/>
        <rFont val="Arial"/>
        <family val="2"/>
      </rPr>
      <t>Fast tracking of VAT refunds and 3 month delay in filing and payment of carbon tax. Increase turnover threshold for PAYE deferral to 100m from 50 m and amount that can be deferred to 35% from 20% for 4 months</t>
    </r>
  </si>
  <si>
    <r>
      <t xml:space="preserve">• South Africa’s extra-budgetary Unemployment Insurance Fund made R30 bn available to support unemployed workers. The money will compensate workers for layoffs of as long as three months if companies are struggling to stay profitable.
•  A Solidarity Fund, with an initial government transfer of R150 million. Most of the funds are expected to come from private donations.
</t>
    </r>
    <r>
      <rPr>
        <sz val="10"/>
        <color theme="1"/>
        <rFont val="Arial"/>
        <family val="2"/>
      </rPr>
      <t>• Industrial funding package to fast-track financing for companies including those that are critical in the fight against Covid-19 provided by the Industrial Development Corporation (IDC).</t>
    </r>
  </si>
  <si>
    <t>A new and temporary EU unemployment reinsurance fund (SURE) that will provide up to €100 billion in loans on favorable terms to governments, in support of national unemployment and short-time work schemes. Guarantees are to be provided through the EU budget and directly by EU Member States, although the distribution has not been made clear.</t>
  </si>
  <si>
    <t>• The EU Council agreed on a new guarantee fund of €25 billion for the European Investment Bank, which is estimated to provide bank financing of around €200 billion to firms, particularly SMEs, across the EU. The guarantee fund comes on top of an earlier support package of up to €40 billion announced in March, and both packages are likely to be funded by voluntary contributions from Member States.</t>
  </si>
  <si>
    <t>For 483billion new package, the breakdown is broken down as follows, which are all included</t>
  </si>
  <si>
    <t>a. 75b: reimburse health care providers (above-the-line, health)</t>
  </si>
  <si>
    <t>b. 25b: test for COVID-19 (above-the-line, health)</t>
  </si>
  <si>
    <t>c. 62b: grant to small business (above-the-line)</t>
  </si>
  <si>
    <t xml:space="preserve">d. 321b: paycheck production  (below-the-line) </t>
  </si>
  <si>
    <t>-We see that for above-the-line health, there is a new item for Families First Coronavirus Response Act (Marth 16) for 59b. Was this included in the original 1395b in the earlier Survey results?  </t>
  </si>
  <si>
    <t>-For below-the-line measures: revised from 405 b to 776 b, should this be 823b?  In my earlier calculation, I added 321b to the original 405b, and forgot to count 50b in Economic Injury Disaster Loan Program. If adding 405+321+50= 823b. Also, is this 50b included in the 483b package? If so, the total of April 23 package will exceed 483b?</t>
  </si>
  <si>
    <t>-The Apr 11 memo mentions that  the Fed announced new measures to provide 2.3 trillion to support credit to corporations and S&amp;L governments, according to sec 13(3).  Is this already included in the original 454 b Treasury backstop in CARES Act, or coming from different source of funding</t>
  </si>
  <si>
    <t>a. loans are guaranteed by the SBA using funds allocated by CARES Act</t>
  </si>
  <si>
    <t>b. Two special purpose vehicles, with Treasury providing 75b as an equity backstop (what is the funding source?)</t>
  </si>
  <si>
    <t>c. PMCCF/SMCCF, with Treasury providing 75b as an equity backstop (the funding source is still Exchange Stabilization Fund?)</t>
  </si>
  <si>
    <t>Following up your previous email, my calculation should be updated</t>
  </si>
  <si>
    <t>   75 (healthcare reimbursement in Apr 23 package)</t>
  </si>
  <si>
    <t>+ 25 (tests in Apr 23 package)</t>
  </si>
  <si>
    <t>+ 59 (increase outlays in Medicare, Medicaid, etc. in Families First Coronavirus Response Act, Mar. 16)</t>
  </si>
  <si>
    <t>+ 18 (upward revision on extended unemployment insurance payment in CARES Act)</t>
  </si>
  <si>
    <t>+ 1 (upward revision on food assistance in CARES Act)</t>
  </si>
  <si>
    <t>+ 43 (upward revision on tax rebates in CARES Act)</t>
  </si>
  <si>
    <t>+ 8 (upward revision on employee retention tax credit in CARES Act)</t>
  </si>
  <si>
    <t>___________________________</t>
  </si>
  <si>
    <r>
      <t xml:space="preserve">+ </t>
    </r>
    <r>
      <rPr>
        <sz val="10"/>
        <color theme="1"/>
        <rFont val="Arial"/>
        <family val="2"/>
      </rPr>
      <t>12 (grants to small business in Apr 23 package)</t>
    </r>
  </si>
  <si>
    <t>For 483billion new package, the breakdown</t>
  </si>
  <si>
    <t>c. 12b: grant to small business (above-the-line)</t>
  </si>
  <si>
    <r>
      <t xml:space="preserve">d. 50b: </t>
    </r>
    <r>
      <rPr>
        <sz val="10"/>
        <color theme="1"/>
        <rFont val="ArialMT"/>
      </rPr>
      <t>Economic Injury Disaster Loan Program to assist small businesses (below-the-line)</t>
    </r>
  </si>
  <si>
    <r>
      <t xml:space="preserve">e. 321b: paycheck protection </t>
    </r>
    <r>
      <rPr>
        <sz val="10"/>
        <color theme="1"/>
        <rFont val="ArialMT"/>
      </rPr>
      <t>in forgivable Small Business Administration loans</t>
    </r>
    <r>
      <rPr>
        <sz val="10"/>
        <color theme="1"/>
        <rFont val="Arial"/>
        <family val="2"/>
      </rPr>
      <t xml:space="preserve">  (below-the-line) </t>
    </r>
  </si>
  <si>
    <r>
      <t>Above-the-line: 1395</t>
    </r>
    <r>
      <rPr>
        <sz val="10"/>
        <color theme="1"/>
        <rFont val="Wingdings"/>
        <charset val="2"/>
      </rPr>
      <t>à</t>
    </r>
    <r>
      <rPr>
        <sz val="10"/>
        <color theme="1"/>
        <rFont val="Arial"/>
        <family val="2"/>
      </rPr>
      <t xml:space="preserve"> 1636 (112b from 483 new package + 59b from the CBO’ update for cost estimate in Families First Coronavirus Response Act, Mar. 16  + 70 b from CBO’s update on the cost estimate for CARES Act—see the breakdown below)</t>
    </r>
  </si>
  <si>
    <r>
      <t>Below-the-line: 405</t>
    </r>
    <r>
      <rPr>
        <sz val="10"/>
        <color theme="1"/>
        <rFont val="Wingdings"/>
        <charset val="2"/>
      </rPr>
      <t>à</t>
    </r>
    <r>
      <rPr>
        <sz val="10"/>
        <color theme="1"/>
        <rFont val="Arial"/>
        <family val="2"/>
      </rPr>
      <t>776 (321 bn + 50 bn from 483 new measures)</t>
    </r>
  </si>
  <si>
    <t>321 + 50 + 112 =  483</t>
  </si>
  <si>
    <t>COB’s update on the CARES estimates</t>
  </si>
  <si>
    <t>• State guarantees for bank loans to companies (€300 bn) and credit reinsurance schemes (about 15 bn euros)</t>
  </si>
  <si>
    <r>
      <rPr>
        <b/>
        <sz val="10"/>
        <rFont val="Arial"/>
        <family val="2"/>
      </rPr>
      <t xml:space="preserve">Additional spending (€34 bn): </t>
    </r>
    <r>
      <rPr>
        <sz val="10"/>
        <rFont val="Arial"/>
        <family val="2"/>
      </rPr>
      <t xml:space="preserve">Subsidies for wages of workers under the reduced-hour scheme direct financial support for affected microenterprises, liberal professions, and independent workers; extension of expiring unemployment and other benefits.
</t>
    </r>
    <r>
      <rPr>
        <b/>
        <sz val="10"/>
        <rFont val="Arial"/>
        <family val="2"/>
      </rPr>
      <t xml:space="preserve">
</t>
    </r>
  </si>
  <si>
    <r>
      <rPr>
        <b/>
        <sz val="10"/>
        <rFont val="Arial"/>
        <family val="2"/>
      </rPr>
      <t xml:space="preserve">Additional spending (AUD190.8 bn): </t>
    </r>
    <r>
      <rPr>
        <sz val="10"/>
        <rFont val="Arial"/>
        <family val="2"/>
      </rPr>
      <t xml:space="preserve">Tax-free cash payments to eligible small businesses to continue operations; wage subsidies for small businesses to keep their workers; payments to lower-income Australians, including pensioners, other social security and veteran income support recipients, and eligible concession card holders.
</t>
    </r>
    <r>
      <rPr>
        <b/>
        <sz val="10"/>
        <rFont val="Arial"/>
        <family val="2"/>
      </rPr>
      <t xml:space="preserve">Foregone revenue (AUD14.5 bn): </t>
    </r>
    <r>
      <rPr>
        <sz val="10"/>
        <rFont val="Arial"/>
        <family val="2"/>
      </rPr>
      <t>Asset write-off; accelerated depreciation deductions to support investment; tax reliefs for Australian airlines and airports; waiver of fees and charges for tourism businesses in most affected regions and communities.</t>
    </r>
  </si>
  <si>
    <r>
      <rPr>
        <b/>
        <sz val="10"/>
        <color theme="1"/>
        <rFont val="Arial"/>
        <family val="2"/>
      </rPr>
      <t xml:space="preserve">Additional spending (CAD116 bn): </t>
    </r>
    <r>
      <rPr>
        <sz val="10"/>
        <color theme="1"/>
        <rFont val="Arial"/>
        <family val="2"/>
      </rPr>
      <t>Income support for firms and people, including payments to workers without access to sick leave and employment insurance, an increase in existing GST tax credits and childcare benefits, support to the most vulnerable including through a new Indigenous Community Support Fund, and a firm subsidy equal to 75 percent of employee wages for up to 3 months.
Enhancing Canada's Work-Sharing program to support employers and their employees who experience a downturn due to COVID-19, doubling the length of time can use Work-Share from 38 to 76 weeks.</t>
    </r>
  </si>
  <si>
    <r>
      <rPr>
        <b/>
        <sz val="10"/>
        <color theme="1"/>
        <rFont val="Arial"/>
        <family val="2"/>
      </rPr>
      <t xml:space="preserve">Health spending (€19 bn): </t>
    </r>
    <r>
      <rPr>
        <sz val="10"/>
        <color theme="1"/>
        <rFont val="Arial"/>
        <family val="2"/>
      </rPr>
      <t xml:space="preserve"> on hospital capacity, medical equipment, research, and information campaigns. </t>
    </r>
  </si>
  <si>
    <r>
      <rPr>
        <b/>
        <sz val="10"/>
        <color theme="1"/>
        <rFont val="Arial"/>
        <family val="2"/>
      </rPr>
      <t xml:space="preserve">Additional spending (€125 bn): </t>
    </r>
    <r>
      <rPr>
        <sz val="10"/>
        <color theme="1"/>
        <rFont val="Arial"/>
        <family val="2"/>
      </rPr>
      <t xml:space="preserve">including grants to hard hit small businesses and self-employed, increased access to childcare and basic social security benefits, and temporary relief to affected tenants. There is also support to firms and households provided through the “Kurzabeit” program, part of which could be considered discretionary because the program parameters have been changed.
</t>
    </r>
    <r>
      <rPr>
        <b/>
        <sz val="10"/>
        <color theme="1"/>
        <rFont val="Arial"/>
        <family val="2"/>
      </rPr>
      <t xml:space="preserve">
</t>
    </r>
  </si>
  <si>
    <r>
      <t xml:space="preserve">• </t>
    </r>
    <r>
      <rPr>
        <sz val="10"/>
        <color theme="1"/>
        <rFont val="Arial"/>
        <family val="2"/>
      </rPr>
      <t>The government boosted special financing and guarantees primarily for micro, small and medium-sized business operators affected by COVID-19 through the Japan Finance Corporation and other institutions (JPY 45 tn).
• Other off-budget operations using the Development Bank of Japan and other agencies (primarily for infrastructure projects in the post-containment phase) (JPY 8 tn)</t>
    </r>
  </si>
  <si>
    <r>
      <rPr>
        <b/>
        <sz val="10"/>
        <color theme="1"/>
        <rFont val="Arial"/>
        <family val="2"/>
      </rPr>
      <t>Additional spending:</t>
    </r>
    <r>
      <rPr>
        <sz val="10"/>
        <color theme="1"/>
        <rFont val="Arial"/>
        <family val="2"/>
      </rPr>
      <t xml:space="preserve">
• Cash handout to individuals (JPY 100,000 per person) (JPY 12.9 trillion)
• Lump-sum transfer to affected firms (JPY 2 mn per firm for SMEs, JPY 1 mn for the self-employed) (JPY 2.3 tn).
• Subsidies for public/private financial institutions' lending (JPY 3.8 tn)
• Measures to accelerate recovery and rebuild resilient economic structure such as incentive measures for consumption in affected service sectors and infrastructure investments (in the post-containment phase) (JPY 10.8 tn). 
</t>
    </r>
    <r>
      <rPr>
        <b/>
        <sz val="10"/>
        <color theme="1"/>
        <rFont val="Arial"/>
        <family val="2"/>
      </rPr>
      <t xml:space="preserve">Foregone revenue: </t>
    </r>
    <r>
      <rPr>
        <sz val="10"/>
        <color theme="1"/>
        <rFont val="Arial"/>
        <family val="2"/>
      </rPr>
      <t>Reduction of property tax and expansion of the loss carry-back program.</t>
    </r>
  </si>
  <si>
    <r>
      <rPr>
        <b/>
        <sz val="10"/>
        <color theme="1"/>
        <rFont val="Arial"/>
        <family val="2"/>
      </rPr>
      <t xml:space="preserve">Additional spending </t>
    </r>
    <r>
      <rPr>
        <sz val="10"/>
        <color theme="1"/>
        <rFont val="Arial"/>
        <family val="2"/>
      </rPr>
      <t xml:space="preserve">(€10 bn depending on the usage and duration of the measures and could be higher):
• Entitlement of unemployment benefit for workers temporarily laid off under the Temporary Employment Adjustment Schemes owing to the pandemic, with no requirement for prior minimum contribution or reduction of accumulated entitlement. 
• Increased sick pay for COVID-19 infected workers or those quarantined, from 60 to 75 percent of the regulatory base, paid by the Social Security budget; allowance for self-employed workers affected.
• A temporary subsidy for affected household employees and for temporary workers whose contract expires during the state of emergency and are not entitled to collect unemployment benefits; and additional provision of assistance to dependents. 
• Transfer to autonomous communities funding meals for children affected by the school closure; new rental assistance programs for certain vulnerable renters; and extension of the social benefit for energy provision.
</t>
    </r>
    <r>
      <rPr>
        <b/>
        <sz val="10"/>
        <color theme="1"/>
        <rFont val="Arial"/>
        <family val="2"/>
      </rPr>
      <t xml:space="preserve">Forgone revenue: 
</t>
    </r>
    <r>
      <rPr>
        <sz val="10"/>
        <color theme="1"/>
        <rFont val="Arial"/>
        <family val="2"/>
      </rPr>
      <t>• Exemptions of social contributions for affected companies that maintain employment, and a 50 percent exemption from employer’s social security contributions for workers with permanent discontinuous contracts in the tourism sector and related activities (from February to June 2020). 
• A 6-month suspension of social security contributions for the self-employed (for April-June), subject to a condition of continued activity in May and June; and more flexibility for workers to access savings from their pension plans.</t>
    </r>
  </si>
  <si>
    <r>
      <rPr>
        <b/>
        <sz val="10"/>
        <color theme="1"/>
        <rFont val="Arial"/>
        <family val="2"/>
      </rPr>
      <t>Health spending (£14.7 bn):</t>
    </r>
    <r>
      <rPr>
        <sz val="10"/>
        <color theme="1"/>
        <rFont val="Arial"/>
        <family val="2"/>
      </rPr>
      <t xml:space="preserve">
• Additional funding for the National Health Service, including to expand the number of hospital beds, medical staff and equipment. 
</t>
    </r>
    <r>
      <rPr>
        <b/>
        <sz val="10"/>
        <color theme="1"/>
        <rFont val="Arial"/>
        <family val="2"/>
      </rPr>
      <t>Revenue measures:</t>
    </r>
    <r>
      <rPr>
        <sz val="10"/>
        <color theme="1"/>
        <rFont val="Arial"/>
        <family val="2"/>
      </rPr>
      <t xml:space="preserve">
• Waiver of VAT and duties on critical medical imports.</t>
    </r>
  </si>
  <si>
    <r>
      <rPr>
        <b/>
        <sz val="10"/>
        <color theme="1"/>
        <rFont val="Arial"/>
        <family val="2"/>
      </rPr>
      <t xml:space="preserve">Additional spending (£55 bn):
</t>
    </r>
    <r>
      <rPr>
        <sz val="10"/>
        <color theme="1"/>
        <rFont val="Arial"/>
        <family val="2"/>
      </rPr>
      <t xml:space="preserve">•  Income support, including a Job Retention Scheme to subsidize furloughed employees' wages and firms' social security contributions; an income support scheme for the self-employed; direct grants for small firms in the most-affected sectors; compensation for paid sick leave; strengthening the social safety net to support vulnerable people (by nearly £7 bn) under the Universal Credit and other benefit schemes; support for renters by increasing the Local Housing Allowance. 
•  International support, with £150 million made available to the IMF’s Catastrophe Containment and Relief Trust. 
</t>
    </r>
    <r>
      <rPr>
        <b/>
        <sz val="10"/>
        <color theme="1"/>
        <rFont val="Arial"/>
        <family val="2"/>
      </rPr>
      <t>Foregone revenue:</t>
    </r>
    <r>
      <rPr>
        <sz val="10"/>
        <color theme="1"/>
        <rFont val="Arial"/>
        <family val="2"/>
      </rPr>
      <t xml:space="preserve"> property tax (business rate) holiday for firms in affected sectors.</t>
    </r>
  </si>
  <si>
    <r>
      <rPr>
        <b/>
        <sz val="10"/>
        <color theme="1"/>
        <rFont val="Arial"/>
        <family val="2"/>
      </rPr>
      <t>Health spending:</t>
    </r>
    <r>
      <rPr>
        <sz val="10"/>
        <color theme="1"/>
        <rFont val="Arial"/>
        <family val="2"/>
      </rPr>
      <t xml:space="preserve">
• Coronavirus Preparedness and Response Supplemental Appropriations Act (March 6, 2020) approved with $8.3bn for treatments, drugs, and public health measures, of which US$1.25 bn is included for international assistance. 
• Families First Coronavirus Response Act (March 16, 2020) includes health provisions that increase outlays in Medicare, Medicaid, and other programs with federal matching by an estimated $59 bn.
• Coronavirus Aid, Relief, and Economic Security Act (March 27, 2020) approved $100 bn for hospitals, $1.32 bn for community centers, $4.3 bn for the Center of Disease Control, and $27 bn for vaccine development.
• Paycheck Protection Program and Health Care Enhancement Act (April 23, 2020) includes $75 billion for hospitals and $25 billion for expanding testing.</t>
    </r>
  </si>
  <si>
    <r>
      <rPr>
        <b/>
        <sz val="10"/>
        <color theme="1"/>
        <rFont val="Arial"/>
        <family val="2"/>
      </rPr>
      <t xml:space="preserve">Additional spending: 
</t>
    </r>
    <r>
      <rPr>
        <sz val="10"/>
        <color theme="1"/>
        <rFont val="Arial"/>
        <family val="2"/>
      </rPr>
      <t xml:space="preserve">• Families First Coronavirus Response Act (March 16, 2020) includes an estimated $83.3 bn for 2 weeks paid sick leave, up to 3 months emergency leave for those infected (at 2/3 pay), food assistance, free virus testing; and federal transfers to states for Medicaid (increased by 6.2% during emergency period); and $1 bn in expanded unemployment insurance.
• Coronavirus Aid, Relief, and Economic Security Act (March 27, 2020) includes, among others, extended unemployment insurance payments ($268 bn); transfers to state and local governments ($150 bn), FEMA disaster relief ($45 bn), food assistance ($25 bn), education funding ($30 bn), and transit funding ($25 bn).
• Paycheck Protection Program and Health Care Enhancement Act (April 23, 2020) includes $610  10 billion for the Small Business Administration's Economic Injuries program (grants) and $2 billion for the Small Business Administration's salaries and expenses.
</t>
    </r>
    <r>
      <rPr>
        <b/>
        <sz val="10"/>
        <color theme="1"/>
        <rFont val="Arial"/>
        <family val="2"/>
      </rPr>
      <t xml:space="preserve">Foregone revenue: </t>
    </r>
    <r>
      <rPr>
        <sz val="10"/>
        <color theme="1"/>
        <rFont val="Arial"/>
        <family val="2"/>
      </rPr>
      <t xml:space="preserve">
• Tax rebates ($293 bn) of $1,200 for singles/$2,400 for married couples filing jointly and $500 per qualifying child, employee retention tax credit ($58 bn).
</t>
    </r>
  </si>
  <si>
    <r>
      <rPr>
        <b/>
        <sz val="10"/>
        <rFont val="Arial"/>
        <family val="2"/>
      </rPr>
      <t xml:space="preserve">Additional spending </t>
    </r>
    <r>
      <rPr>
        <sz val="10"/>
        <rFont val="Arial"/>
        <family val="2"/>
      </rPr>
      <t>(AR $290 bn):</t>
    </r>
    <r>
      <rPr>
        <b/>
        <sz val="10"/>
        <rFont val="Arial"/>
        <family val="2"/>
      </rPr>
      <t xml:space="preserve">
</t>
    </r>
    <r>
      <rPr>
        <sz val="10"/>
        <rFont val="Arial"/>
        <family val="2"/>
      </rPr>
      <t xml:space="preserve">• Support for workers and vulnerable groups, including through increased transfers to poor families, increased social security benefits (especially to low-income beneficiaries), higher unemployment insurance benefits, and payments to minimum-wage workers.
• Demand support, including spending on public works. </t>
    </r>
    <r>
      <rPr>
        <b/>
        <sz val="10"/>
        <rFont val="Arial"/>
        <family val="2"/>
      </rPr>
      <t xml:space="preserve">
Foregone revenue </t>
    </r>
    <r>
      <rPr>
        <sz val="10"/>
        <rFont val="Arial"/>
        <family val="2"/>
      </rPr>
      <t xml:space="preserve">(AR$ 60bn):
• Support for hard-hit sectors, including an exemption from social security contributions. </t>
    </r>
  </si>
  <si>
    <r>
      <t xml:space="preserve">• Subsidized and guaranteed loans for SMEs, retailers, and distributors. 
• Government loans to assist debt restructuring by regions (RUB 200 bn). 
• Recapitalization of leasing firms due to potential problems of their clients in the transportation sector. 
</t>
    </r>
    <r>
      <rPr>
        <sz val="10"/>
        <color theme="1"/>
        <rFont val="Arial"/>
        <family val="2"/>
      </rPr>
      <t>• The Central Bank of Russia (CBR) has put in place, a new lending facility with a refinancing limit of 500 bn rubles, with a view to shoring up SME lending. Up to 150 bn rubles will be allocated to support bank lending to SMEs to ensure the uninterrupted fulfillment of their obligation to pay wages to their staff.</t>
    </r>
  </si>
  <si>
    <r>
      <rPr>
        <b/>
        <sz val="10"/>
        <rFont val="Arial"/>
        <family val="2"/>
      </rPr>
      <t>Additional spending (140 tn)</t>
    </r>
    <r>
      <rPr>
        <sz val="10"/>
        <rFont val="Arial"/>
        <family val="2"/>
      </rPr>
      <t xml:space="preserve">
• The first fiscal package of IDR10.3 tn comprises support to the tourism sector (tax cuts and discounts on airplane tickets and jet-fuel) and to low-income households (social assistance and subsidy for home buyers) starting from March 1 for most measures. 
• The third fiscal package includes IDR110 tn (0.7 percent of GDP) additional social assistance spending, including increasing benefits and coverage of existing social safety nets such as food aid and unemployment benefits, and electricity subsidies.</t>
    </r>
    <r>
      <rPr>
        <b/>
        <sz val="10"/>
        <rFont val="Arial"/>
        <family val="2"/>
      </rPr>
      <t xml:space="preserve">
Foregone revenue (73 tn): 
</t>
    </r>
    <r>
      <rPr>
        <sz val="10"/>
        <rFont val="Arial"/>
        <family val="2"/>
      </rPr>
      <t>• Tax cuts for the tourism sector.
• The second fiscal package of IDR33.2 tn includes income tax exemptions to workers in the industrial sectors (with an income ceiling) and support to businesses through delayed payments for income tax and acceleration in VAT refund from April to September.
• The third package also includes various tax reliefs and incentives, including exemption and reduction of income taxes (with an income ceiling) and a reduction of the corporate income tax from 25 percent to 22 percent.</t>
    </r>
  </si>
  <si>
    <t>The $1395bn (i.e., 1407 – 12) only pertained to the CARES Act (the table I sent you on 4/2 only included the CARES Act). I see now that the fiscal monitor annex meant to include the other packages (Coronavirus Preparedness and Response Supplemental Appropriations Act and Families First Coronavirus Response Act) as well. These two acts at the time were estimated to be worth $8.3bn and $83bn, which were not included.</t>
  </si>
  <si>
    <t>So compared to the published FM for above the line items:</t>
  </si>
  <si>
    <t>+ 8.3bn             Coronavirus Preparedness and Response Supplemental Appropriations Act</t>
  </si>
  <si>
    <t>+ 83bn             Families First Coronavirus Response Act</t>
  </si>
  <si>
    <t xml:space="preserve">+ 109bn            Cost of the Families First Coronavirus Response Act was updated to $191.9bn because one change in the law apparently had an impact on a few existing welfare programs thus increasing the budget impact. </t>
  </si>
  <si>
    <t>+ 112bn            Paycheck Protection Program and Health Care Enhancement Act (April 23, 2020) includes $75 for hospitals, $25 for testing, $10 in grants, $2 for SBA’s salaries and expenses.</t>
  </si>
  <si>
    <t>+ 18bn              Upward revision on extended unemployment insurance payment in CARES Act</t>
  </si>
  <si>
    <t>+ 1bn                Upward revision on food assistance in CARES Act</t>
  </si>
  <si>
    <t>+ 43bn              Upward revision on tax rebates in CARES Act</t>
  </si>
  <si>
    <t>+ 8bn                Upward revision on employee retention tax credit in CARES Act</t>
  </si>
  <si>
    <t>So what we have as above-the-line total (including all fiscal packages that have been passed so far and updates to previous estimates) should be $1,777bn.</t>
  </si>
  <si>
    <t>Desk responses</t>
  </si>
  <si>
    <r>
      <rPr>
        <b/>
        <sz val="10"/>
        <color theme="1"/>
        <rFont val="Arial"/>
        <family val="2"/>
      </rPr>
      <t xml:space="preserve">Health spending: </t>
    </r>
    <r>
      <rPr>
        <sz val="10"/>
        <color theme="1"/>
        <rFont val="Arial"/>
        <family val="2"/>
      </rPr>
      <t xml:space="preserve">in response to the COVID19 pandemic. </t>
    </r>
    <r>
      <rPr>
        <b/>
        <sz val="10"/>
        <color theme="1"/>
        <rFont val="Arial"/>
        <family val="2"/>
      </rPr>
      <t xml:space="preserve">
Revenue measures:</t>
    </r>
    <r>
      <rPr>
        <sz val="10"/>
        <color theme="1"/>
        <rFont val="Arial"/>
        <family val="2"/>
      </rPr>
      <t xml:space="preserve"> Tax exemptions for essential sanitary products during the pandemic (e.g. hand sanitizers).</t>
    </r>
  </si>
  <si>
    <r>
      <rPr>
        <b/>
        <sz val="10"/>
        <rFont val="Arial"/>
        <family val="2"/>
      </rPr>
      <t xml:space="preserve">Additional spending: </t>
    </r>
    <r>
      <rPr>
        <sz val="10"/>
        <rFont val="Arial"/>
        <family val="2"/>
      </rPr>
      <t>Allocations from the Departments of Small Business Development and the Department of Tourism of R700 million made available to assist small and medium enterprises that are in distress including in tourism and hospitality sectors. Support municipal provision of essential services and additional grants for the most vulnerable families.</t>
    </r>
    <r>
      <rPr>
        <b/>
        <sz val="10"/>
        <rFont val="Arial"/>
        <family val="2"/>
      </rPr>
      <t xml:space="preserve">
Foregone revenue: 
</t>
    </r>
    <r>
      <rPr>
        <sz val="10"/>
        <rFont val="Arial"/>
        <family val="2"/>
      </rPr>
      <t xml:space="preserve">Tax subsidy of up to R500 per month for the next four months for those private sector employees earning below R6,500 under the Employment Tax Incentive. 
4 months tax holiday for payment of skills development levy (estimated relief based on projected annual collection). 
Additional tax deduction for Solidarity Fund contributors (10 percent additional deduction from their taxable income for taxpayers that contribute to the Solidarity fund)
</t>
    </r>
  </si>
  <si>
    <r>
      <rPr>
        <b/>
        <sz val="10"/>
        <color theme="1"/>
        <rFont val="Arial"/>
        <family val="2"/>
      </rPr>
      <t>Deferred revenue (KRW 12.2 tn)</t>
    </r>
    <r>
      <rPr>
        <sz val="10"/>
        <color theme="1"/>
        <rFont val="Arial"/>
        <family val="2"/>
      </rPr>
      <t>: Tax deferral covering a broad range of taxes for small businesses and the self-employed in medical, tourism, performance, hospitality, and other affected sectors; social security contribution payment deferral for households.</t>
    </r>
  </si>
  <si>
    <t>• No-guarantee measures by the Financial Services Commission announced Feb 28, 2020 mostly for SMEs (KRW 79 tn).
• Ministry of Economy and Finance (MoEF) announced loan for venture capital and SME on April 8, 2020 (KRW 2 tn)
• MoEF announced financial support on April 22, 2020 for 1) key industries (KRW 40 tr) and 2) other businesses affected (KRW 35 tn)</t>
  </si>
  <si>
    <t>• Guarantee measures by Financial Services Commission announced Feb 28, 2020, including 
- special guarantee and small merchants (KRW 5.5 tn), 
- guarantee for small businesses (KRW 3 tn),
- guarantee for SMEs and middle market enterprises with unfavorable credit history (KRW 7.9 tn),
- Korea Credit Guarantee Fund (KODIT) supports the issuance of corporate bonds through primary collateralized obligation (KRW 4.1 tn).
• Guarantee measures announced by MoEF on April 8, 2020 to provide guarantee and insurance support for exporters (KRW 6 tn)</t>
  </si>
  <si>
    <r>
      <rPr>
        <b/>
        <sz val="10"/>
        <color theme="1"/>
        <rFont val="Arial"/>
        <family val="2"/>
      </rPr>
      <t xml:space="preserve">Additional Spending (KRW 36 tn):
</t>
    </r>
    <r>
      <rPr>
        <sz val="10"/>
        <color theme="1"/>
        <rFont val="Arial"/>
        <family val="2"/>
      </rPr>
      <t>• Support for househol</t>
    </r>
    <r>
      <rPr>
        <sz val="10"/>
        <rFont val="Arial"/>
        <family val="2"/>
      </rPr>
      <t>ds, including employment retention support</t>
    </r>
    <r>
      <rPr>
        <sz val="10"/>
        <color theme="1"/>
        <rFont val="Arial"/>
        <family val="2"/>
      </rPr>
      <t>, consumption coupons for the poor, emergency family care support, and cash transfers to bottom 70% of households.
•</t>
    </r>
    <r>
      <rPr>
        <sz val="10"/>
        <rFont val="Arial"/>
        <family val="2"/>
      </rPr>
      <t xml:space="preserve"> Wage subsidies and unemployment benefits to those who are not covered by UI.</t>
    </r>
    <r>
      <rPr>
        <sz val="10"/>
        <color theme="1"/>
        <rFont val="Arial"/>
        <family val="2"/>
      </rPr>
      <t xml:space="preserve">
• Support for local communities, including local gift certificates and local government grants for infection prevention. Support for firms, including for wages and finance for small merchants.
</t>
    </r>
    <r>
      <rPr>
        <b/>
        <sz val="10"/>
        <color theme="1"/>
        <rFont val="Arial"/>
        <family val="2"/>
      </rPr>
      <t xml:space="preserve">Foregone revenue (KRW 4.5 tn): </t>
    </r>
    <r>
      <rPr>
        <sz val="10"/>
        <color theme="1"/>
        <rFont val="Arial"/>
        <family val="2"/>
      </rPr>
      <t xml:space="preserve">Consumption tax cut for auto purchases; temporary corporate/income tax cuts for landlords who reduce commercial rents; VAT reduction for the self-employed; social security contribution cut for households and firms. </t>
    </r>
  </si>
  <si>
    <t>Czech republic</t>
  </si>
  <si>
    <t>Czech Republic</t>
  </si>
  <si>
    <t>Additional spending and forgone revenue in the health sector</t>
  </si>
  <si>
    <t>Additional spending and forgone revenue
in areas other than health</t>
  </si>
  <si>
    <t>• The authorities announced potential direct equity support in strategic companies (around €21 bn).</t>
  </si>
  <si>
    <r>
      <rPr>
        <b/>
        <sz val="10"/>
        <color theme="1"/>
        <rFont val="Arial"/>
        <family val="2"/>
      </rPr>
      <t>Deferred revenue (JPY 26 tn):</t>
    </r>
    <r>
      <rPr>
        <sz val="10"/>
        <color theme="1"/>
        <rFont val="Arial"/>
        <family val="2"/>
      </rPr>
      <t xml:space="preserve"> Deferral of payment of taxes and social security premiums by affected firms and households for one year.</t>
    </r>
  </si>
  <si>
    <t>Belgium</t>
  </si>
  <si>
    <t>Ethiopia</t>
  </si>
  <si>
    <t>Georgia</t>
  </si>
  <si>
    <t>Ghana</t>
  </si>
  <si>
    <t xml:space="preserve">Guinea Bissau </t>
  </si>
  <si>
    <t>Kenya</t>
  </si>
  <si>
    <t>New Zealand</t>
  </si>
  <si>
    <t>Pakistan</t>
  </si>
  <si>
    <t>Peru</t>
  </si>
  <si>
    <t>Philippines</t>
  </si>
  <si>
    <t>Romania</t>
  </si>
  <si>
    <t>Switzerland</t>
  </si>
  <si>
    <t>Thailand</t>
  </si>
  <si>
    <t>Finance Ministry to guarantee EGP 3 billion of low-interest Central Bank of Egypt loans for Tourism Sector: The ministry will guarantee the loans for three years, including a one-year grace period. The loans under the tourism lending initiative, which are subsidized by the CBE, carry a 5 percent interest rate (reduced from 8 percent) and can now also be used to cover wages, commitments to suppliers, and maintenance expenses amid a COVID-induced slump. Beneficiaries are allowed to use up to 15 percent of the loan to cover basic operations costs.</t>
  </si>
  <si>
    <r>
      <rPr>
        <b/>
        <sz val="10"/>
        <rFont val="Arial"/>
        <family val="2"/>
      </rPr>
      <t>Additional spending (AUD 5 bn):</t>
    </r>
    <r>
      <rPr>
        <sz val="10"/>
        <rFont val="Arial"/>
        <family val="2"/>
      </rPr>
      <t xml:space="preserve">
• Support for primary and aged care, hospitals, and research to ensure effective diagnosis and treatment of the infected and minimize the spread of the virus.
• The Commonwealth government to pay for half of all additional costs incurred by states and territories in diagnosing and treating patients with COVID-19.</t>
    </r>
  </si>
  <si>
    <r>
      <rPr>
        <b/>
        <sz val="10"/>
        <color theme="1"/>
        <rFont val="Arial"/>
        <family val="2"/>
      </rPr>
      <t xml:space="preserve">Additional spending (€0.05 bn): </t>
    </r>
    <r>
      <rPr>
        <sz val="10"/>
        <color theme="1"/>
        <rFont val="Arial"/>
        <family val="2"/>
      </rPr>
      <t>The European Commission redirected funding of €47.5 million towards research on COVID-19 vaccine development, treatment, and diagnostics.</t>
    </r>
  </si>
  <si>
    <r>
      <rPr>
        <b/>
        <sz val="10"/>
        <color theme="1"/>
        <rFont val="Arial"/>
        <family val="2"/>
      </rPr>
      <t xml:space="preserve">Additional spending (€8 bn): </t>
    </r>
    <r>
      <rPr>
        <sz val="10"/>
        <color theme="1"/>
        <rFont val="Arial"/>
        <family val="2"/>
      </rPr>
      <t>Support for streamlining and boosting health insurance (paid sick leave) for the sick or their caregivers, higher spending on health supplies; bonuses for health workers.</t>
    </r>
  </si>
  <si>
    <r>
      <rPr>
        <b/>
        <sz val="10"/>
        <color theme="1"/>
        <rFont val="Arial"/>
        <family val="2"/>
      </rPr>
      <t>Additional spending (€4.3 bn):</t>
    </r>
    <r>
      <rPr>
        <sz val="10"/>
        <color theme="1"/>
        <rFont val="Arial"/>
        <family val="2"/>
      </rPr>
      <t xml:space="preserve">
• Budget support from the contingency fund to the Ministry of Health (€1.4 bn); advance transfer to the regions for health services (€2.9 bn); additional funding for research related to the development of drugs and vaccines (€0.05 bn).
• An emergency management process for the procurement of all goods and services needed by the public sector to implement any measure to address the pandemic.</t>
    </r>
  </si>
  <si>
    <t>• A loan guarantee scheme for firms with a turnover of between NZ$250 thousand and NZ$80 million per annum, with the Government carrying 80% of the credit risk. The loans will be limited to NZ$500 thousand for a maximum of three years and expected to be provided by the banks at competitive, transparent rates.</t>
  </si>
  <si>
    <t>Guinea-Bissau</t>
  </si>
  <si>
    <t>• The Bank of Thailand has been authorized to lend THB500 billion to financial institutions for on-lending to SMEs. Financial institutions will be compensated up to 60 or 70 percent of the additional loans in case these turn nonperforming.</t>
  </si>
  <si>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withholding tax (A-taxes) and labor market contributions (DKK 90 bn), for businesses that pay VAT on a monthly basis (DKK 35 bn), for provisional tax paid by self-employed businessmen (B-taxes) (DKK 5 bn), and for payroll tax for certain businesses. (DKK 0.4 bn)
• VAT period for small enterprises will be extended from 6 to 12 months in 2020, and for medium-sized enterprises from 3 to 6 months in the first half of 2020 (DKK 35 bn)
</t>
    </r>
  </si>
  <si>
    <t>• The government will guarantee 70% of the value of new loans to 1) large companies that can demonstrate a fall in turnover over more than 30 percent and 2) SMEs that have seen operating profits fall by more than 30 percent. 
• Credit guarantee for Scandinavian Airlines (SAS).
• Increased access to export credit for SMEs. 
• Strengthening the Travel Guarantee Fund.
• Reinsurance scheme targeted companies using trade credit insurance</t>
  </si>
  <si>
    <t>General Government</t>
  </si>
  <si>
    <t>Central Government</t>
  </si>
  <si>
    <t>Non-financial Public Sector</t>
  </si>
  <si>
    <t>• Development banks to provide loans, particularly to small- and medium-scale enterprises (SMEs).</t>
  </si>
  <si>
    <t>• RUB 70 billion for restructuring regional debt to the federal government.
• Recapitalization of leasing firms due to potential problems of their clients in the transportation sector.</t>
  </si>
  <si>
    <t>Programs from the industrial development corporation to support businesses.</t>
  </si>
  <si>
    <t>• Core enterprises to receive preferential treatment from the state, including loan guarantees and liquidity support, provided that they preserve employment, support domestic suppliers, and meet certain transparency and governance requirements.</t>
  </si>
  <si>
    <t>• The SME working capital financing (KZT 600 bn) program will be financed by Kazakhstan stability fund, a subsidiary of the National Bank of Kazakhstan.</t>
  </si>
  <si>
    <t xml:space="preserve">• Guarantees to new financial sector loans for working capital, primarily targeted to SMEs. The program is also tied to a liquidity provision program in which the central bank can accept the guaranteed loans for repo operations. </t>
  </si>
  <si>
    <t>• Credit guarantees for small businesses and support to the agriculture sector.</t>
  </si>
  <si>
    <t xml:space="preserve">• Microfinancing special loan package for affected micro entrepreneurs and MSMEs. </t>
  </si>
  <si>
    <t xml:space="preserve">• Establish a government guarantee and loan scheme which includes loan guarantees for SMEs (NOK 50 bn) and a scheme for re-insurance of private credit insurance providers (NOK 20 bn). </t>
  </si>
  <si>
    <r>
      <rPr>
        <sz val="10"/>
        <color theme="1"/>
        <rFont val="Symbol"/>
        <family val="1"/>
        <charset val="2"/>
      </rPr>
      <t xml:space="preserve">· </t>
    </r>
    <r>
      <rPr>
        <sz val="10"/>
        <color theme="1"/>
        <rFont val="Arial"/>
        <family val="2"/>
      </rPr>
      <t xml:space="preserve">Government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</si>
  <si>
    <t>General government</t>
  </si>
  <si>
    <r>
      <rPr>
        <b/>
        <sz val="10"/>
        <color theme="1"/>
        <rFont val="Arial"/>
        <family val="2"/>
      </rPr>
      <t>Deferred revenue</t>
    </r>
    <r>
      <rPr>
        <sz val="10"/>
        <color theme="1"/>
        <rFont val="Arial"/>
        <family val="2"/>
      </rPr>
      <t>: Deadline for payment of suspended VAT extended from 12 to 24 months (CFAF 15 billion). A</t>
    </r>
    <r>
      <rPr>
        <sz val="10"/>
        <color theme="1"/>
        <rFont val="Arial"/>
        <family val="2"/>
      </rPr>
      <t>ccelerated refund of VAT credits, deferral of CIT for SMEs and companies in hardest hit sectors.</t>
    </r>
  </si>
  <si>
    <r>
      <rPr>
        <b/>
        <sz val="10"/>
        <color theme="1"/>
        <rFont val="Arial"/>
        <family val="2"/>
      </rPr>
      <t xml:space="preserve">Accelerated spending: 
</t>
    </r>
    <r>
      <rPr>
        <sz val="10"/>
        <color theme="1"/>
        <rFont val="Arial"/>
        <family val="2"/>
      </rPr>
      <t xml:space="preserve">• Early pension fund withdrawals.
</t>
    </r>
    <r>
      <rPr>
        <b/>
        <sz val="10"/>
        <color theme="1"/>
        <rFont val="Arial"/>
        <family val="2"/>
      </rPr>
      <t xml:space="preserve">
Deferred revenue: </t>
    </r>
    <r>
      <rPr>
        <sz val="10"/>
        <color theme="1"/>
        <rFont val="Arial"/>
        <family val="2"/>
      </rPr>
      <t xml:space="preserve">
• Income tax deferrals for individuals and businesses.
• Extension in declaration deadline of tax payments for households and SMEs.</t>
    </r>
  </si>
  <si>
    <t>Above the line measures</t>
  </si>
  <si>
    <t>Guarantees</t>
  </si>
  <si>
    <t>Quasi-fiscal operations</t>
  </si>
  <si>
    <t>Off-budget measures</t>
  </si>
  <si>
    <t xml:space="preserve">• Government to provide the Australian Office of Financial Management with an investment capacity (AUD 15 bn) to invest in structured finance markets used by smaller lenders. </t>
  </si>
  <si>
    <t>• A loan guarantee arrangement between the Government and participating banks to cover the immediate cash flow needs of SMEs.</t>
  </si>
  <si>
    <t>A. Above-the line measures</t>
  </si>
  <si>
    <t>B. Below the line measures</t>
  </si>
  <si>
    <t>C. Contingent liabilities</t>
  </si>
  <si>
    <t>Total off-budget (B+C)</t>
  </si>
  <si>
    <r>
      <rPr>
        <b/>
        <sz val="10"/>
        <color theme="1"/>
        <rFont val="Arial"/>
        <family val="2"/>
      </rPr>
      <t xml:space="preserve">Additional spending (CAD 4 bn): </t>
    </r>
    <r>
      <rPr>
        <sz val="10"/>
        <color theme="1"/>
        <rFont val="Arial"/>
        <family val="2"/>
      </rPr>
      <t>Support to the health system including for increased testing, vaccine development, medical supplies, mitigation efforts, and greater protection of Indigenous communities.</t>
    </r>
  </si>
  <si>
    <r>
      <rPr>
        <b/>
        <sz val="10"/>
        <color theme="1"/>
        <rFont val="Arial"/>
        <family val="2"/>
      </rPr>
      <t xml:space="preserve">Additional spending (CAD 116 bn): 
</t>
    </r>
    <r>
      <rPr>
        <sz val="10"/>
        <color theme="1"/>
        <rFont val="Arial"/>
        <family val="2"/>
      </rPr>
      <t>• Income support for firms and people, including payments to workers without access to sick leave and employment insurance, an increase in existing GST tax credits and childcare benefits, support to students and the most vulnerable including through a new Indigenous Community Support Fund, and a firm subsidy equal to 75 percent of employee wages for up to 3 months.
• Enhancing Canada's Work-Sharing program to support employers and their employees who experience a downturn due to COVID-19, doubling the length of time can use Work-Share from 38 to 76 weeks.</t>
    </r>
  </si>
  <si>
    <t>lookupID</t>
  </si>
  <si>
    <r>
      <rPr>
        <b/>
        <sz val="10"/>
        <color theme="1"/>
        <rFont val="Arial"/>
        <family val="2"/>
      </rPr>
      <t>Additional spending:</t>
    </r>
    <r>
      <rPr>
        <sz val="10"/>
        <color theme="1"/>
        <rFont val="Arial"/>
        <family val="2"/>
      </rPr>
      <t xml:space="preserve"> including on purchase, distribution, and sale of medical devices; vaccine research; healthcare costs in the Caribbean Netherlands; training additional healthcare personnel.</t>
    </r>
  </si>
  <si>
    <t>• The loan guarantee program for businesses (especially those affected by the outbreak) is expanded to cover up to 90 percent of total loan for SMEs (with maturity of 1 year or less) and 80 percent for large firms.
• A guarantee scheme for supplier credit was also established.</t>
  </si>
  <si>
    <r>
      <rPr>
        <b/>
        <sz val="10"/>
        <color theme="1"/>
        <rFont val="Arial"/>
        <family val="2"/>
      </rPr>
      <t>Additional spending</t>
    </r>
    <r>
      <rPr>
        <sz val="10"/>
        <color theme="1"/>
        <rFont val="Arial"/>
        <family val="2"/>
      </rPr>
      <t>: doubling resources for public health units; expanding intensive care capacity and equipment at hospitals; expanding healthline capacity; and support for primary care.</t>
    </r>
  </si>
  <si>
    <t>• Farm Credit Canada will receive support from the government that will allow for an additional CAD 5 bn in lending capacity to producers, agribusinesses, and food processors.</t>
  </si>
  <si>
    <r>
      <rPr>
        <b/>
        <sz val="10"/>
        <rFont val="Arial"/>
        <family val="2"/>
      </rPr>
      <t xml:space="preserve">Additional spending: 
</t>
    </r>
    <r>
      <rPr>
        <sz val="10"/>
        <rFont val="Arial"/>
        <family val="2"/>
      </rPr>
      <t xml:space="preserve">• At the Commonwealth level (AUD 128 bn), tax-free cash payments and wage subsidies to eligible small businesses to continue operations and keep their workers; payments to lower-income Australians, including pensioners, other social security and veteran income support recipients, and eligible concession card holders.
• At state and territory level, discounted utility bills and cash payments to vulnerable households.
</t>
    </r>
    <r>
      <rPr>
        <b/>
        <sz val="10"/>
        <rFont val="Arial"/>
        <family val="2"/>
      </rPr>
      <t xml:space="preserve">Forgone revenue: 
</t>
    </r>
    <r>
      <rPr>
        <sz val="10"/>
        <rFont val="Arial"/>
        <family val="2"/>
      </rPr>
      <t>• At the Commonwealth level (AUD 5.8 bn), asset write-off; accelerated depreciation deductions; tax relief for airlines and airports; waiver of fees and charges for tourism businesses in most affected regions/communities.
• At state and territory level, payroll tax relief for firms.</t>
    </r>
  </si>
  <si>
    <t>• Equity injection to Alitalia (€3.3 bn)</t>
  </si>
  <si>
    <t>Budget allocation of €35 bn to guarantee loans, with total guarantees estimated at about €530 bn.
• Guarantees cover up to 30% of the value of SME loans subject to moratorium (€70 bn) and between 70% and 90% of the value of loans for all businesses (€200 bn). 
• SME Guarantee Fund is enhanced from €40 bn to over €100 bn.
• Guarantee of €0.5 bn for the state development bank Cassa Deposit e Prestiti to provide liquidity support to banks financing medium to large enterprises.
• Co-insurance scheme to guarantee loans to exporters (€200 bn).</t>
  </si>
  <si>
    <r>
      <rPr>
        <b/>
        <sz val="10"/>
        <color theme="1"/>
        <rFont val="Arial"/>
        <family val="2"/>
      </rPr>
      <t>Additional spending:</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t>
    </r>
    <r>
      <rPr>
        <sz val="10"/>
        <color theme="1"/>
        <rFont val="Arial"/>
        <family val="2"/>
      </rPr>
      <t xml:space="preserve">
• Waiver of VAT and customs duties on critical medical imports, including ventilators, testing kits, and protective gear.</t>
    </r>
  </si>
  <si>
    <r>
      <rPr>
        <b/>
        <sz val="10"/>
        <color theme="1"/>
        <rFont val="Arial"/>
        <family val="2"/>
      </rPr>
      <t>Deferred revenue</t>
    </r>
    <r>
      <rPr>
        <sz val="10"/>
        <color theme="1"/>
        <rFont val="Arial"/>
        <family val="2"/>
      </rPr>
      <t>: 
• Deferral of income tax for the self employed and VAT payments; 
• Time to Pay arrangements (tax debt restructuring) for businesses and individuals.</t>
    </r>
  </si>
  <si>
    <t xml:space="preserve">• Coronavirus Aid, Relief, and Economic Security Act (March 27, 2020) includes $56 bn in loans for distress businesses (e.g., passenger and cargo air carriers, postal service).
</t>
  </si>
  <si>
    <r>
      <t>• Finland’s Export Credit Agency expands its lending and guarantee capacity to SMEs by €10 bn and the government will increase its coverage of the agency’s credit and guar</t>
    </r>
    <r>
      <rPr>
        <sz val="10"/>
        <rFont val="Arial"/>
        <family val="2"/>
      </rPr>
      <t>antee losses from 50 to 80 percent. 
• State guarantee for Finnair (€ 0.6 bn) and shipping companies (€ 0.6 bn)</t>
    </r>
    <r>
      <rPr>
        <sz val="10"/>
        <color theme="1"/>
        <rFont val="Arial"/>
        <family val="2"/>
      </rPr>
      <t xml:space="preserve">
• As of the Supplementary Budget on May 8, the following guarantees have been added totaling € 1.7 billion: Guarantees for Employment Fund, EUR 880 million, for SURE, EUR 432 million, for the EIB, EUR 372 million.</t>
    </r>
  </si>
  <si>
    <r>
      <t xml:space="preserve">• Increase the Danish Students’ Loan Scheme (DKK 1.5 billion). 
• Interest free loans based on VAT payments and payroll tax payments (DKK 35 billion). 
</t>
    </r>
    <r>
      <rPr>
        <sz val="10"/>
        <color theme="1"/>
        <rFont val="Arial"/>
        <family val="1"/>
        <charset val="2"/>
      </rPr>
      <t>• Loans and equity to start-ups and high growth enterprises (less than DKK 3.4 billion)</t>
    </r>
  </si>
  <si>
    <t>https://fm.dk/nyheder/nyhedsarkiv/2020/marts/regeringen-og-alle-folketingets-partier-er-enige-om-omfattende-hjaelpepakke-til-dansk-oekonomi/</t>
  </si>
  <si>
    <t>https://fm.dk/nyheder/nyhedsarkiv/2020/marts/regeringen-og-arbejdsmarkedets-parter-styrker-trepartsaftalen-om-midlertidig-loenkompensation/</t>
  </si>
  <si>
    <t>https://fm.dk/nyheder/nyhedsarkiv/2020/april/regeringen-og-alle-folketingets-partier-er-enige-om-at-justere-og-udvide-hjaelpepakker-til-dansk-oekonomi/</t>
  </si>
  <si>
    <t>• Allow the State to guarantee new credits amounting to TND 1.5 bn for management, operation and maintenance provided by the banking system until December 31, 2020 reimbursable over seven years, including a two-year grace period in sectors such as tourism, transport, culture, etc.</t>
  </si>
  <si>
    <r>
      <rPr>
        <b/>
        <sz val="10"/>
        <rFont val="Arial"/>
        <family val="2"/>
      </rPr>
      <t xml:space="preserve">Accelerated spending </t>
    </r>
    <r>
      <rPr>
        <sz val="10"/>
        <rFont val="Arial"/>
        <family val="2"/>
      </rPr>
      <t>(0.7 percent of GDP):</t>
    </r>
    <r>
      <rPr>
        <b/>
        <sz val="10"/>
        <rFont val="Arial"/>
        <family val="2"/>
      </rPr>
      <t xml:space="preserve">
</t>
    </r>
    <r>
      <rPr>
        <sz val="10"/>
        <rFont val="Arial"/>
        <family val="2"/>
      </rPr>
      <t>• Early tax refunds of SMEs.
• Accelerated pay of public procurement obligations.</t>
    </r>
    <r>
      <rPr>
        <b/>
        <sz val="10"/>
        <rFont val="Arial"/>
        <family val="2"/>
      </rPr>
      <t xml:space="preserve">
Deferred revenue </t>
    </r>
    <r>
      <rPr>
        <sz val="10"/>
        <rFont val="Arial"/>
        <family val="2"/>
      </rPr>
      <t xml:space="preserve">(0.8 percent of GDP):
• Tax deferrals (corporate income tax, VAT, property).
</t>
    </r>
  </si>
  <si>
    <t xml:space="preserve">• Credit guarantee scheme for SMEs that could apply to credits totaling US$24 billion.
</t>
  </si>
  <si>
    <t>• Liquidity provision to SMEs and households, including through the state-owned Banco del Estado (0.2 percent of GDP). 
• A state injection to the unemployment insurance fund (0.9 percent of GDP).</t>
  </si>
  <si>
    <r>
      <rPr>
        <b/>
        <sz val="10"/>
        <color theme="1"/>
        <rFont val="Arial"/>
        <family val="2"/>
      </rPr>
      <t xml:space="preserve">Additional spending (RMB 147 bn): </t>
    </r>
    <r>
      <rPr>
        <sz val="10"/>
        <color theme="1"/>
        <rFont val="Arial"/>
        <family val="2"/>
      </rPr>
      <t xml:space="preserve">Expenditure to improve epidemic prevention and control and the national public health emergency management system.
</t>
    </r>
    <r>
      <rPr>
        <b/>
        <sz val="10"/>
        <color theme="1"/>
        <rFont val="Arial"/>
        <family val="2"/>
      </rPr>
      <t xml:space="preserve">Forgone revenue: </t>
    </r>
    <r>
      <rPr>
        <sz val="10"/>
        <color theme="1"/>
        <rFont val="Arial"/>
        <family val="2"/>
      </rPr>
      <t>Tariffs were exempted for the import of medicines, medical supplies, and other vehicles used to fight against the outbreak.</t>
    </r>
  </si>
  <si>
    <t>• Equity infusion for companies in the electricity distribution (DISCOM) sector (Rs 900 bn), carried out by Power Finance Corps and Rural Electrification Corps (both SOEs).</t>
  </si>
  <si>
    <t>• Equity infusion for micro, small, and medium-sized enterprises (Rs 500 bn)</t>
  </si>
  <si>
    <r>
      <rPr>
        <b/>
        <sz val="10"/>
        <color theme="1"/>
        <rFont val="Arial"/>
        <family val="2"/>
      </rPr>
      <t>Deferred revenue</t>
    </r>
    <r>
      <rPr>
        <sz val="10"/>
        <color theme="1"/>
        <rFont val="Arial"/>
        <family val="2"/>
      </rPr>
      <t>:
• Tax filing dates were extended by six months.</t>
    </r>
  </si>
  <si>
    <t xml:space="preserve">• New credit guarantees and micro loans for entrepreneurs estimated at PLN 75 billion (3.4 percent of GDP)
</t>
  </si>
  <si>
    <r>
      <rPr>
        <b/>
        <sz val="10"/>
        <color theme="1"/>
        <rFont val="Arial"/>
        <family val="2"/>
      </rPr>
      <t>Deferred revenue</t>
    </r>
    <r>
      <rPr>
        <sz val="10"/>
        <color theme="1"/>
        <rFont val="Arial"/>
        <family val="2"/>
      </rPr>
      <t>: Companies can defer tax payments without penalties, and calculate provisional taxes on the basis of expected reduced activity levels. Entrepreneurs can request  a deferral of tax payment, without the need to provide evidence.</t>
    </r>
  </si>
  <si>
    <r>
      <rPr>
        <b/>
        <sz val="10"/>
        <color theme="1"/>
        <rFont val="Arial"/>
        <family val="2"/>
      </rPr>
      <t>Deferred revenue (SAR 48bn)</t>
    </r>
    <r>
      <rPr>
        <sz val="10"/>
        <color theme="1"/>
        <rFont val="Arial"/>
        <family val="2"/>
      </rPr>
      <t>: Deferred declaration &amp; payment of taxes for 3 months, waiver of customs duties (30 days to 3 months), waiver of expat fees for 3 months; and  waiver of municipal fees on companies for 3 months.</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</si>
  <si>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t>
    </r>
  </si>
  <si>
    <r>
      <rPr>
        <b/>
        <sz val="10"/>
        <color theme="1"/>
        <rFont val="Arial"/>
        <family val="2"/>
      </rPr>
      <t>Deferred revenue</t>
    </r>
    <r>
      <rPr>
        <sz val="10"/>
        <color theme="1"/>
        <rFont val="Arial"/>
        <family val="2"/>
      </rPr>
      <t>: from various taxes.</t>
    </r>
  </si>
  <si>
    <r>
      <rPr>
        <b/>
        <sz val="10"/>
        <color theme="1"/>
        <rFont val="Arial"/>
        <family val="2"/>
      </rPr>
      <t>Additional spending</t>
    </r>
    <r>
      <rPr>
        <sz val="10"/>
        <color theme="1"/>
        <rFont val="Arial"/>
        <family val="2"/>
      </rPr>
      <t>: to contain the outbreak, provided mainly to the Ministry of Health.</t>
    </r>
  </si>
  <si>
    <r>
      <rPr>
        <b/>
        <sz val="10"/>
        <color theme="1"/>
        <rFont val="Arial"/>
        <family val="2"/>
      </rPr>
      <t>Additional spending</t>
    </r>
    <r>
      <rPr>
        <sz val="10"/>
        <color theme="1"/>
        <rFont val="Arial"/>
        <family val="2"/>
      </rPr>
      <t>: Includes army pharmacy (CHF2.55 billion), medication (CHF30 million) and health protection (CHF10 million).</t>
    </r>
  </si>
  <si>
    <r>
      <rPr>
        <b/>
        <sz val="10"/>
        <color theme="1"/>
        <rFont val="Arial"/>
        <family val="2"/>
      </rPr>
      <t>Additional spending:</t>
    </r>
    <r>
      <rPr>
        <sz val="10"/>
        <color theme="1"/>
        <rFont val="Arial"/>
        <family val="2"/>
      </rPr>
      <t xml:space="preserve"> financing for short-time work program and unemployment fund (CHF20.2 billion); Covid-19 income replacement (both directly and indirectly affected) (CHF5.3 billion); Covid-19 bridge loan losses (CHF1 billion); supports to sports and culture sectors (CHF0.6 billion); support for airport and other near-flight operations (CHF0.6 billion); development aid (incl. contribution to IMF) (CHF0.3 billion); and other measures (CHF0.2 billion).</t>
    </r>
  </si>
  <si>
    <r>
      <rPr>
        <b/>
        <sz val="10"/>
        <color theme="1"/>
        <rFont val="Arial"/>
        <family val="2"/>
      </rPr>
      <t>Deferred revenue</t>
    </r>
    <r>
      <rPr>
        <sz val="10"/>
        <color theme="1"/>
        <rFont val="Arial"/>
        <family val="2"/>
      </rPr>
      <t>: Temporary interest-free deferral of social security contribution payments for affected companies and extended payment periods for taxes and payables to federal suppliers.</t>
    </r>
  </si>
  <si>
    <r>
      <rPr>
        <b/>
        <sz val="10"/>
        <color theme="1"/>
        <rFont val="Arial"/>
        <family val="2"/>
      </rPr>
      <t>Additional spending:</t>
    </r>
    <r>
      <rPr>
        <sz val="10"/>
        <color theme="1"/>
        <rFont val="Arial"/>
        <family val="2"/>
      </rPr>
      <t xml:space="preserve"> Additional funding for health sector. The Lk2.5 bn does not include additional allocation from the Reserve Fund (another Lk0.5 bn). </t>
    </r>
  </si>
  <si>
    <r>
      <rPr>
        <b/>
        <sz val="10"/>
        <color theme="1"/>
        <rFont val="Arial"/>
        <family val="2"/>
      </rPr>
      <t>Additional spending</t>
    </r>
    <r>
      <rPr>
        <sz val="10"/>
        <color theme="1"/>
        <rFont val="Arial"/>
        <family val="2"/>
      </rPr>
      <t xml:space="preserve">:
• Additional remunerations in the ministries of health, interior and defense (0.5 bn).
</t>
    </r>
    <r>
      <rPr>
        <b/>
        <sz val="10"/>
        <color theme="1"/>
        <rFont val="Arial"/>
        <family val="2"/>
      </rPr>
      <t>•</t>
    </r>
    <r>
      <rPr>
        <sz val="10"/>
        <color theme="1"/>
        <rFont val="Arial"/>
        <family val="2"/>
      </rPr>
      <t xml:space="preserve"> Government allocated BGN 2.4 million for coronavirus research.</t>
    </r>
  </si>
  <si>
    <r>
      <rPr>
        <b/>
        <sz val="10"/>
        <color theme="1"/>
        <rFont val="Arial"/>
        <family val="2"/>
      </rPr>
      <t>Deferred revenue</t>
    </r>
    <r>
      <rPr>
        <sz val="10"/>
        <color theme="1"/>
        <rFont val="Arial"/>
        <family val="2"/>
      </rPr>
      <t xml:space="preserve">: Deferral of corporate tax payments till June 30. </t>
    </r>
  </si>
  <si>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</si>
  <si>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color theme="1"/>
        <rFont val="Arial"/>
        <family val="2"/>
      </rPr>
      <t>Additional spending (7.7 bn):</t>
    </r>
    <r>
      <rPr>
        <sz val="10"/>
        <color theme="1"/>
        <rFont val="Arial"/>
        <family val="1"/>
        <charset val="2"/>
      </rPr>
      <t xml:space="preserve">
•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 </t>
    </r>
  </si>
  <si>
    <r>
      <rPr>
        <b/>
        <sz val="10"/>
        <color theme="1"/>
        <rFont val="Arial"/>
        <family val="2"/>
      </rPr>
      <t xml:space="preserve">Additional spending: </t>
    </r>
    <r>
      <rPr>
        <sz val="10"/>
        <color theme="1"/>
        <rFont val="Arial"/>
        <family val="2"/>
      </rPr>
      <t xml:space="preserve">
• Industrial companies have received subsidies on lower energy costs and subsidy pay-out for exporters.
• Increase in support to pensioners and irregular workers; subsidy pay-out for exporters has been stepped up. EGP 50 bn has been announced for the tourism sector support. Targeted EGP 50 million support for irregular workers in most severely hit sectors. Around 80-100k families will be added to Takaful and Karama benefit programs at a cost of about EGP 800 million.
</t>
    </r>
    <r>
      <rPr>
        <b/>
        <sz val="10"/>
        <color theme="1"/>
        <rFont val="Arial"/>
        <family val="2"/>
      </rPr>
      <t xml:space="preserve">Forgone revenue: 
</t>
    </r>
    <r>
      <rPr>
        <sz val="10"/>
        <color theme="1"/>
        <rFont val="Arial"/>
        <family val="2"/>
      </rPr>
      <t>• Temporary real estate tax relief has been provided for industrial and tourism sectors; the moratorium on the tax law on agricultural land has been extended for 2 years; a 6-month grace period for SMEs to pay insurance premiums.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</si>
  <si>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Deferred revenue</t>
    </r>
    <r>
      <rPr>
        <sz val="10"/>
        <color theme="1"/>
        <rFont val="Arial"/>
        <family val="2"/>
      </rPr>
      <t>: 6-month grace period for MSMEs to pay insurance premiums, extended moratorium on tax law on agricultural land for 2 years, stopping administrative seizure against taxpayers, in return for 10% of the tax due on them</t>
    </r>
  </si>
  <si>
    <r>
      <rPr>
        <b/>
        <sz val="10"/>
        <color theme="1"/>
        <rFont val="Arial"/>
        <family val="2"/>
      </rPr>
      <t>Additional spending</t>
    </r>
    <r>
      <rPr>
        <sz val="10"/>
        <color theme="1"/>
        <rFont val="Arial"/>
        <family val="2"/>
      </rPr>
      <t>: One-month salary bonus for medical staff, wage increase for health sector employees, and access to medical care to uninsured citizens, among other healthcare expenses.</t>
    </r>
  </si>
  <si>
    <r>
      <rPr>
        <b/>
        <sz val="10"/>
        <color theme="1"/>
        <rFont val="Arial"/>
        <family val="2"/>
      </rPr>
      <t>Additional spending</t>
    </r>
    <r>
      <rPr>
        <sz val="10"/>
        <color theme="1"/>
        <rFont val="Arial"/>
        <family val="2"/>
      </rPr>
      <t>: Increase in general public health spending.</t>
    </r>
  </si>
  <si>
    <r>
      <rPr>
        <b/>
        <sz val="10"/>
        <color theme="1"/>
        <rFont val="Arial"/>
        <family val="2"/>
      </rPr>
      <t>Additional spending</t>
    </r>
    <r>
      <rPr>
        <sz val="10"/>
        <color theme="1"/>
        <rFont val="Arial"/>
        <family val="2"/>
      </rPr>
      <t xml:space="preserve">: Implementation of a Wage Support Scheme and Self-Employed Assistance Scheme, providing financial support to employees who become unemployed on a temporary basis, as well as those employed in informal sectors or self-employed.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</si>
  <si>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rPr>
        <b/>
        <sz val="10"/>
        <color theme="1"/>
        <rFont val="Arial"/>
        <family val="2"/>
      </rPr>
      <t>Additional spending</t>
    </r>
    <r>
      <rPr>
        <sz val="10"/>
        <color theme="1"/>
        <rFont val="Arial"/>
        <family val="2"/>
      </rPr>
      <t xml:space="preserve">: purchase of medical equipment, cleaning kits for schools, new hiring, enhanced monitoring and information campaigns.
</t>
    </r>
    <r>
      <rPr>
        <b/>
        <sz val="10"/>
        <color theme="1"/>
        <rFont val="Arial"/>
        <family val="2"/>
      </rPr>
      <t>Forgone revenue:</t>
    </r>
    <r>
      <rPr>
        <sz val="10"/>
        <color theme="1"/>
        <rFont val="Arial"/>
        <family val="2"/>
      </rPr>
      <t xml:space="preserve">
• Elimination of import taxes for medical health supplies.</t>
    </r>
  </si>
  <si>
    <r>
      <rPr>
        <b/>
        <sz val="10"/>
        <color theme="1"/>
        <rFont val="Arial"/>
        <family val="2"/>
      </rPr>
      <t xml:space="preserve">Additional spending: </t>
    </r>
    <r>
      <rPr>
        <sz val="10"/>
        <color theme="1"/>
        <rFont val="Arial"/>
        <family val="2"/>
      </rPr>
      <t xml:space="preserve">Cash transfers for poor families, independent workers, and other families in need. </t>
    </r>
  </si>
  <si>
    <r>
      <rPr>
        <b/>
        <sz val="10"/>
        <color theme="1"/>
        <rFont val="Arial"/>
        <family val="2"/>
      </rPr>
      <t>Additional spending</t>
    </r>
    <r>
      <rPr>
        <sz val="10"/>
        <color theme="1"/>
        <rFont val="Arial"/>
        <family val="2"/>
      </rPr>
      <t xml:space="preserve"> (8.5 bn or 0.4 percent of GDP): Allocated to support patient care, co-finance healthcare infrastructure improvements, and telemedicine and digitalization.</t>
    </r>
  </si>
  <si>
    <t>• RON1.1 billion loan to buy medical supplies granted to pharmaceutical SOE;  and RON0.6 billion loan to low-cost carrier Blue Air and state-owned airline Tarom (pending approval from EC).</t>
  </si>
  <si>
    <r>
      <rPr>
        <b/>
        <sz val="10"/>
        <color theme="1"/>
        <rFont val="Arial"/>
        <family val="2"/>
      </rPr>
      <t>Additional spending</t>
    </r>
    <r>
      <rPr>
        <sz val="10"/>
        <color theme="1"/>
        <rFont val="Arial"/>
        <family val="2"/>
      </rPr>
      <t>: Preventive and remedial measures; extra-hazard compensation for healthcare workers; exempted import duties for products related to combatting Covid-19 until September 2020.</t>
    </r>
  </si>
  <si>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</si>
  <si>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Additional spending</t>
    </r>
    <r>
      <rPr>
        <sz val="10"/>
        <color theme="1"/>
        <rFont val="Arial"/>
        <family val="2"/>
      </rPr>
      <t xml:space="preserve">: Increasing healthcare capacity, diagnostic and medical equipment, boosting human resources.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</si>
  <si>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t>
    </r>
    <r>
      <rPr>
        <sz val="10"/>
        <color theme="1"/>
        <rFont val="Arial"/>
        <family val="2"/>
      </rPr>
      <t xml:space="preserve">: address availability of test kits, pharmaceuticals, equipment, and bed capacity. Investment in healthcare infrastructure, including the construction or upgrade of 100 district and regional hospitals. 
</t>
    </r>
    <r>
      <rPr>
        <b/>
        <sz val="10"/>
        <color theme="1"/>
        <rFont val="Arial"/>
        <family val="2"/>
      </rPr>
      <t xml:space="preserve">Forgone revenue: </t>
    </r>
    <r>
      <rPr>
        <sz val="10"/>
        <color theme="1"/>
        <rFont val="Arial"/>
        <family val="2"/>
      </rPr>
      <t>Tax waiver for health personnel.</t>
    </r>
  </si>
  <si>
    <r>
      <t xml:space="preserve">Additional spending: </t>
    </r>
    <r>
      <rPr>
        <sz val="10"/>
        <color theme="1"/>
        <rFont val="Arial"/>
        <family val="2"/>
      </rPr>
      <t>Emergency measures to upgrade the main national hospital, pharmaceuticals, food provision and medical equipment to the country’s hospitals. Higher permanent transfers to the main hospital.</t>
    </r>
  </si>
  <si>
    <r>
      <rPr>
        <b/>
        <sz val="10"/>
        <rFont val="Arial"/>
        <family val="2"/>
      </rPr>
      <t>Additional spending:</t>
    </r>
    <r>
      <rPr>
        <sz val="10"/>
        <rFont val="Arial"/>
        <family val="2"/>
      </rPr>
      <t xml:space="preserve"> The government plans to roll out a program to provide cash and in-kind food assistance to support the most vulnerable households (CFAF 525 million have already been spent).</t>
    </r>
  </si>
  <si>
    <r>
      <rPr>
        <b/>
        <sz val="10"/>
        <color theme="1"/>
        <rFont val="Arial"/>
        <family val="2"/>
      </rPr>
      <t>Additional spending</t>
    </r>
    <r>
      <rPr>
        <sz val="10"/>
        <color theme="1"/>
        <rFont val="Arial"/>
        <family val="2"/>
      </rPr>
      <t>: medical supplies, hiring of new personnel, adaptation of facilities.</t>
    </r>
  </si>
  <si>
    <r>
      <rPr>
        <b/>
        <sz val="10"/>
        <color theme="1"/>
        <rFont val="Arial"/>
        <family val="2"/>
      </rPr>
      <t>Deferred revenue</t>
    </r>
    <r>
      <rPr>
        <sz val="10"/>
        <color theme="1"/>
        <rFont val="Arial"/>
        <family val="2"/>
      </rPr>
      <t>: Reduced advanced payments in corporate income tax to provide cash flow relief to companies. Deferrals on tax and social contribution payments, favoring especially SMEs. VAT payments also deferred for SMEs in the non-essential sectors not operating during the curfew.</t>
    </r>
  </si>
  <si>
    <r>
      <rPr>
        <b/>
        <sz val="10"/>
        <color theme="1"/>
        <rFont val="Arial"/>
        <family val="2"/>
      </rPr>
      <t>Additional spending</t>
    </r>
    <r>
      <rPr>
        <sz val="10"/>
        <color theme="1"/>
        <rFont val="Arial"/>
        <family val="2"/>
      </rPr>
      <t>: Enhanced surveillance, laboratory services, isolation units, equipment, supplies, and communication.</t>
    </r>
  </si>
  <si>
    <r>
      <rPr>
        <b/>
        <sz val="10"/>
        <color theme="1"/>
        <rFont val="Arial"/>
        <family val="2"/>
      </rPr>
      <t>Additional spending</t>
    </r>
    <r>
      <rPr>
        <sz val="10"/>
        <color theme="1"/>
        <rFont val="Arial"/>
        <family val="2"/>
      </rPr>
      <t>: Enhance treatment and testing capacity through procuring medical supplies, improve prevention, intensify communication.</t>
    </r>
  </si>
  <si>
    <t xml:space="preserve">• Subsidized lending will be provided under the state program (“Economy of Simple Things”, KZT 1 tn), along with policy to help SMEs finance working capital. </t>
  </si>
  <si>
    <r>
      <rPr>
        <b/>
        <sz val="10"/>
        <color theme="1"/>
        <rFont val="Arial"/>
        <family val="2"/>
      </rPr>
      <t>Deferred revenue</t>
    </r>
    <r>
      <rPr>
        <sz val="10"/>
        <color theme="1"/>
        <rFont val="Arial"/>
        <family val="2"/>
      </rPr>
      <t xml:space="preserve">: Postponement of social insurance contributions. Possible deferral, payment in installments of taxes. </t>
    </r>
  </si>
  <si>
    <r>
      <rPr>
        <b/>
        <sz val="10"/>
        <color theme="1"/>
        <rFont val="Arial"/>
        <family val="2"/>
      </rPr>
      <t>Additional spending:</t>
    </r>
    <r>
      <rPr>
        <sz val="10"/>
        <color theme="1"/>
        <rFont val="Arial"/>
        <family val="2"/>
      </rPr>
      <t xml:space="preserve"> includes SEK 1 bn to the Public Health Agency to increase testing for Covid-19; 10,000 persons will be able to undergo training in health and social care fourth quarter if they study half-time, expanded adult vocational training focusing on health and social care. Funding of extraordinary costs associated with Covid-19 for municipalities and regions</t>
    </r>
  </si>
  <si>
    <r>
      <t xml:space="preserve">Deferred revenues: </t>
    </r>
    <r>
      <rPr>
        <sz val="10"/>
        <color theme="1"/>
        <rFont val="Arial"/>
        <family val="2"/>
      </rPr>
      <t>Companies can defer a maximum of three months on social contribution fees, VAT, and payroll taxes for a period of up to 12 months (SEK 27 billion if uptake similar to GFC, and SEK 315 billion if fully used by all firms), deferral of annual VAT for 2019 (SEK 7 billion) and deferral of SME taxes (SEK 13 billion).</t>
    </r>
  </si>
  <si>
    <t xml:space="preserve">• Credit guarantees for Swedish airlines. 
• Expansion of the Swedish Export Credit Agency’s credit guarantee framework and the programs under the Swedish Export Credit Corporation. </t>
  </si>
  <si>
    <t>• Capital injection to SOEs (IDR 35.2 tn)</t>
  </si>
  <si>
    <t>Health care sector</t>
  </si>
  <si>
    <t>Households (incl. unemployment benefits)</t>
  </si>
  <si>
    <t>Preserving employment linkages</t>
  </si>
  <si>
    <t>Businesses (excl. guarantees)</t>
  </si>
  <si>
    <t>Guarantees on firms' local currency debt</t>
  </si>
  <si>
    <t>Public works</t>
  </si>
  <si>
    <t>Residual or undefined</t>
  </si>
  <si>
    <t>Specific questions for desk (and RESMS assumptions)</t>
  </si>
  <si>
    <t>SMEs</t>
  </si>
  <si>
    <t>Large businesses</t>
  </si>
  <si>
    <t>Both</t>
  </si>
  <si>
    <t>Undefined</t>
  </si>
  <si>
    <t>Questions for desk</t>
  </si>
  <si>
    <t>Under business support, we include 30bn for business from note: "350M in credit lines will be provided to finance wage payments, with 320M coming from banks". We assume the difference (30bn) comes from government, and included under businesses b/c it goes directly to businesses.
Desks noted additional healthcare spending, but no amount is specified. Can desks give us this info?
Can desks allocate the remaining 570?</t>
  </si>
  <si>
    <t>5</t>
  </si>
  <si>
    <t>In undefined we added 40 bn for "unforseen events" from Q5.1.
Can desks breakdown the 205.3 in expenditure and revenue measures into wage subsidies and other mesaures</t>
  </si>
  <si>
    <t>SME amount includes 5bn of the 39bn for SMEs working capital, with remaining 34bn wage subsidies to SMEs under preserving employment.
Under undefined we include 212bn is credit lines from public banks (but not clear if this goes to HH or businesses) and the 60bn bn deferred debt service between central govt and local governments.
Can desk confirm the residual from their 338.3 total less the amounts indicated should be allocated to households?</t>
  </si>
  <si>
    <t xml:space="preserve">Can desk distinguish the household spendingn between preserving employment linkages and other measures?
</t>
  </si>
  <si>
    <t>Can desk please breakdown the expenditure (2290) into specific amounts for the expenditures lists (public works, social security, support for businesses).
Can desks confirm whether the 140bn from road tolls and 350mil from railroads is not included in the overall 2290bn?</t>
  </si>
  <si>
    <t>Euro Area</t>
  </si>
  <si>
    <t xml:space="preserve">Can desks break down the 37bn expenditure into the amount for, households, employment linkages, public expenditure and the amount for support for businesses? And whether the 100bn in loans to member states in on top of the 37bn spending and 65bn guarantees?
</t>
  </si>
  <si>
    <t>Can desks check the existing data and fill in the missing items. Including allocating the 34bn in extra spending between household, employment linkages, and SMEs or large businesses? 
We note the 48.5bn of accelerated tax refunds and postponsement of social security and tax payments, and and 21bn of capital injections--how are the split between SMEs and other businesses?</t>
  </si>
  <si>
    <t>Can desks check the existing data and fill in the missing items? In particular, assign the 124 in spending to household, employment linkages, or businesses?
We note 100bn capital injections and 100bn in state development bank loans and 400bn in guarantees (of the total 860 guarantees) to NFCs--how are they split between SMEs and other firms?</t>
  </si>
  <si>
    <t>150</t>
  </si>
  <si>
    <t>Can desks please assign the 2292.5 in spending and 680 in revenues to household, SME, employment linkages, etc.?</t>
  </si>
  <si>
    <t>76</t>
  </si>
  <si>
    <t>Can desks please assign the 143 tr in spending and revenue measures to the amount allocated to households, preserving employment linkages, SME, other businesses, or public works?</t>
  </si>
  <si>
    <t>Can desks assign the 2bn in tax credits and 7.6bn in delayed tax payments to households vs businesses?</t>
  </si>
  <si>
    <t>Can desks check the existing data and fill in the missing items? 
We note the lump-sum transfers to SME and self employed (2.3tn), Can desks assign the subsidies for financial institutions' lending (3.8tn)?
Under public works, we included  measures to accelerate recovery and build resilience (10.8tn).
Can desk assign the residual of the 117.1tr total spending?</t>
  </si>
  <si>
    <t xml:space="preserve">Can desks check the existing data and fill in the missing items? 
We note the 10.1tn in wage subsidies and unemployment benefits--how much goes to wage subsidies alone (i.e. preserving employment linkages)? The unemployment benefits can go into general household support.
Under general household support we include universal household transfers (14.3tn), creation of public sector jobs (3.5trn), VAT reduction (0.6 tr), SSC cut (0.9tr),  and consumption tax exemption (2tn).
Under SME support, we included 156tn in quasi-fiscal support to SMEs, and 12.2tn in tax deferrals for small shop owners,,5.5tr in special guarantees for SME, 3tr for small businesses, 7.9tr for SME with bad credit.
In general business we include 1tr for landlords and 2.1tr for early purchases and prepayment to buinesses.
Under unassigned we have 3.1tr from Feb announcement and 8.5trn from 1st supplemental budget b/c it notes its for SMEs and families/consumption, can desk assign an amount to each?
</t>
  </si>
  <si>
    <t>Can desks check the existing data and fill in the missing items? We would like to include the budget-neutral measures too.
Under business support, we included 85.2 from development banks. Can desks assign this to SME and larger businesses?</t>
  </si>
  <si>
    <t>Can desks check the existing data and fill in the missing items? 
We note the 1882bn in revenue and expenditure measures--how is this amount split along the lines of our classification here?
Under SME support, we included 500bn in loans to SMEs.
Under undefined, we included 70bn in refinancing for sub-national governments.</t>
  </si>
  <si>
    <t>Can desks check the existing data and fill in the missing items? 
Under general household support, we included 4bn in social loans to low-income families.
Under policies for preserving employment linkages, we included 9bn in wage subsidies and 5bn in employment programs.
In undefined/residual we include 48bn in tax deferrals, can desk asign this?
Under undefined-business  0.9bn for electricity subsidy to agriculture sector.
Under SME support, we included 13bn in SME financing (from NDF) 
We did not include 50bn in revenue measures, because these are expected to be financed by expenditure cuts.</t>
  </si>
  <si>
    <t>Can desks check the existing data and fill in the missing items? 
We have classified the 2bn from revenue under undefined - can desk please separate this amount into maintaing employment linkages and support for SME's, the description suggests these revenues measures are targeted to both.
We have split the guarantees into 100bn for SMEs, 2bn for both SME/Large which are for exporters through the Spandish Export Insurance Credit Company, and 10bn in general guarantees for the ICO credit lines and guarantens to farmers.</t>
  </si>
  <si>
    <t>Can desks check the existing data and fill in the missing items? 
We note the overall 500bn support package, minus 20bn for healthcare and 200bn in guarantees--how is the remainder split among the categories here?
Under general household support, we included 30bn from the UIF to support the unemployed.</t>
  </si>
  <si>
    <t>Can desks check the existing data and fill in the missing items? We note the headline number of 100bn support, including the enhanced welfare benefits, deferrals of VAT/social security/personal income tax, employment subsidies, and sovereign wealth fund equity stakes, but we are missing a breakdown.
We have allocated 50bn in new guarantees, 2bn from increased cash assistance to families in need.</t>
  </si>
  <si>
    <t xml:space="preserve">Can desks check the existing data and fill in the missing items? 
We note the combined size of the CCCF, CBILS and CLBILS is 330bn, but what is the estimated size of the SME support, e.g. in the CBILS, BBLS and grants to small business?
How much of the 55bn in expenditure measures apply to the coronavirus job retention scheme, as opposed to small business grants or social assistance enhancements? We allocated the term funding scheme for SMEs (200bn). </t>
  </si>
  <si>
    <t>We include in general household 38.8 from Families Frist Act,  268 in unemployment insurance from Covid Aid, Relief and Economic Security Act, and 540 in tax rebates. We include 349 from the Covid Aid act to SMEs and 56 in loans for distrssed businesses, and the 440 to government response in the undefined category.
Can desks confirm how these amounts are assigned ?</t>
  </si>
  <si>
    <t>Notes and assumptions</t>
  </si>
  <si>
    <t>Healthcare includes health insurance, health facilities/supplies, research, information provision, financing to healthcare providers and import/consumption taxes on essential products.</t>
  </si>
  <si>
    <t>General support for households includes unemployment benefits, other welfare benefits not associated with preserving employment linkages, wage subsidies, cash/in-kind transfers, deferrals / reductions of household taxes / social security contributions, accelerated household tax refunds, etc.</t>
  </si>
  <si>
    <t>Policies for preserving employment linkages include furlough and short-time work schemes.</t>
  </si>
  <si>
    <t>Support for businesses include loans, purchases of private sector securities, capital injections, grants, deferrals / reductions of business taxes / social security contributions, accelerated business tax refunds, funding-for-lending schemes (even if they partially support lending to households), etc. They exclude the policies for preserving employment linkages (above).</t>
  </si>
  <si>
    <t>Under support for business, "both" means support for SMEs and large businesses that cannot clearly be separated into one of the two categories. It is not the sum of SMEs and large businesses.</t>
  </si>
  <si>
    <t xml:space="preserve">Undefined policies include transfers to sub-national governments. </t>
  </si>
  <si>
    <t>Total 
size</t>
  </si>
  <si>
    <t>Guarantees (on loans, deposits etc.)</t>
  </si>
  <si>
    <t>Quasi-fiscal operations (noncommercial activity of public corporations on behalf of government)</t>
  </si>
  <si>
    <t xml:space="preserve">•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t>
  </si>
  <si>
    <t>D. Accelerated spending and deferred revenue in areas other than health</t>
  </si>
  <si>
    <t xml:space="preserve">
</t>
  </si>
  <si>
    <r>
      <rPr>
        <sz val="10"/>
        <color theme="1"/>
        <rFont val="Symbol"/>
        <family val="1"/>
        <charset val="2"/>
      </rPr>
      <t xml:space="preserve">· </t>
    </r>
    <r>
      <rPr>
        <sz val="10"/>
        <color theme="1"/>
        <rFont val="Arial"/>
        <family val="2"/>
      </rPr>
      <t xml:space="preserve">Guarantees for Covid-19 bridge loans (for firms with annual turnover up to CHF500 million) (CHF40 billion)
</t>
    </r>
    <r>
      <rPr>
        <sz val="10"/>
        <color theme="1"/>
        <rFont val="Symbol"/>
        <family val="1"/>
        <charset val="2"/>
      </rPr>
      <t xml:space="preserve">· </t>
    </r>
    <r>
      <rPr>
        <sz val="10"/>
        <color theme="1"/>
        <rFont val="Arial"/>
        <family val="2"/>
      </rPr>
      <t xml:space="preserve">Guarantees for startups (CHF0.1 billion)
</t>
    </r>
    <r>
      <rPr>
        <sz val="10"/>
        <color theme="1"/>
        <rFont val="Symbol"/>
        <family val="1"/>
        <charset val="2"/>
      </rPr>
      <t>·</t>
    </r>
    <r>
      <rPr>
        <sz val="10"/>
        <color theme="1"/>
        <rFont val="Arial"/>
        <family val="2"/>
      </rPr>
      <t xml:space="preserve"> Guarantees for airlines (CHF1.275 billion)</t>
    </r>
  </si>
  <si>
    <r>
      <t xml:space="preserve">• Capitalization of Findeter and Bancoldex (Colombian Development Banks) for the purpose of credit lines.
• Credit lines for payroll and loan payments, with a focus on SMEs through the National Guarantee Fund (government capitalization of 0.2 percent of GDP to guarantee around 1.2 percent of GDP of loans).
• Capitalization of Findeter and Bancoldex for the purpose of credit lines (worth around 0.1 percent of GDP) 
</t>
    </r>
    <r>
      <rPr>
        <sz val="10"/>
        <color theme="1"/>
        <rFont val="Symbol"/>
        <family val="1"/>
        <charset val="2"/>
      </rPr>
      <t>·</t>
    </r>
    <r>
      <rPr>
        <sz val="7"/>
        <color theme="1"/>
        <rFont val="Arial"/>
        <family val="2"/>
        <charset val="2"/>
      </rPr>
      <t xml:space="preserve"> </t>
    </r>
    <r>
      <rPr>
        <sz val="10"/>
        <color theme="1"/>
        <rFont val="Arial"/>
        <family val="2"/>
        <charset val="2"/>
      </rPr>
      <t>A new National Emergency Mitigation Fund (FOME) was announced, where the central government partially finances response measures with resources from regional stabilization funds (FAE, FONPET).</t>
    </r>
  </si>
  <si>
    <r>
      <rPr>
        <b/>
        <sz val="10"/>
        <color theme="1"/>
        <rFont val="Arial"/>
        <family val="2"/>
      </rPr>
      <t>Additional spending</t>
    </r>
    <r>
      <rPr>
        <sz val="10"/>
        <color theme="1"/>
        <rFont val="Arial"/>
        <family val="2"/>
      </rPr>
      <t xml:space="preserve">: for healthcare and testing, protection and medical equipment, public safety and border controls, and research on rapid diagnostics and vaccines and timely decision-making. 
• Finland contributes €5 million to international efforts to develop a vaccine. Additional spending is allocated for the development and maintenance of a contact tracing app.   
• </t>
    </r>
    <r>
      <rPr>
        <sz val="10"/>
        <rFont val="Arial"/>
        <family val="2"/>
      </rPr>
      <t>The fourth supplementary budget includes €110 million for coronavirus vaccine and testing and €200 million for transfers to hospital district authorities.</t>
    </r>
  </si>
  <si>
    <r>
      <rPr>
        <b/>
        <sz val="10"/>
        <color theme="1"/>
        <rFont val="Arial"/>
        <family val="2"/>
      </rPr>
      <t>Deferred revenue</t>
    </r>
    <r>
      <rPr>
        <sz val="10"/>
        <color theme="1"/>
        <rFont val="Arial"/>
        <family val="2"/>
      </rPr>
      <t>: Deferrals of tax and pension payment obligations for 3 months are estimated to provide an a</t>
    </r>
    <r>
      <rPr>
        <sz val="10"/>
        <rFont val="Arial"/>
        <family val="2"/>
      </rPr>
      <t>dditional €4.5 billion (2 percent of GDP) in relief; adjusted VAT payment arrangements provide €750 million (0.3 percent of GDP) in relief.</t>
    </r>
  </si>
  <si>
    <t>• SME capital injections of 150 million euros. Share acquisitions in state ownership steering €700 million.
• On April 29, the government announced a recapitalization of Finnair of €500 million. Finnair is 56% publicly owned.
•SME capital injections of €150 million. Share acquisitions in state ownership steering €700 million.
• Increased capitalization of €300 million into national climate fund. Increased capital funding for state-owned enterprises of €770 million.</t>
  </si>
  <si>
    <r>
      <rPr>
        <b/>
        <sz val="10"/>
        <rFont val="Arial"/>
        <family val="2"/>
      </rPr>
      <t xml:space="preserve">Additional spending: 
• </t>
    </r>
    <r>
      <rPr>
        <sz val="10"/>
        <rFont val="Arial"/>
        <family val="2"/>
      </rPr>
      <t>Purchases of medical equipment (CZK 12bn).
• The government approved higher premium payments on state-covered health insurance--increase by CZK500 per person as of June.
• Debt relief of hospitals (CZK 6.6bn). 
• Bonus for workers in social services and emergency responders (CZK 6.3bn).</t>
    </r>
  </si>
  <si>
    <r>
      <rPr>
        <b/>
        <sz val="10"/>
        <rFont val="Arial"/>
        <family val="2"/>
      </rPr>
      <t xml:space="preserve">Deferred revenue: 
</t>
    </r>
    <r>
      <rPr>
        <sz val="10"/>
        <rFont val="Arial"/>
        <family val="2"/>
      </rPr>
      <t>• Postponement of (i) personal and corporate income taxes by three months to July; (ii) advance payments on social security and health insurance contributions for self-employed by 6 months; (iii) the introduction of the third and fourth waves of the electronic registration of sales system up to the end of 2020+K13; (iv) advance payments on motor vehicle tax to mid-October. 
• Employers are allowed to defer payment of social contributions for May-July</t>
    </r>
  </si>
  <si>
    <r>
      <t xml:space="preserve">
•</t>
    </r>
    <r>
      <rPr>
        <sz val="7"/>
        <rFont val="Arial"/>
        <family val="2"/>
      </rPr>
      <t xml:space="preserve"> </t>
    </r>
    <r>
      <rPr>
        <sz val="10"/>
        <rFont val="Arial"/>
        <family val="2"/>
      </rPr>
      <t xml:space="preserve">The CMZRB provided CZK 0.8bn through interest-free loans, the rest will be handled through state guarantees on loans of commercial banks.
</t>
    </r>
  </si>
  <si>
    <r>
      <rPr>
        <b/>
        <sz val="10"/>
        <color theme="1"/>
        <rFont val="Arial"/>
        <family val="2"/>
      </rPr>
      <t xml:space="preserve">Additional spending (€23 bn): </t>
    </r>
    <r>
      <rPr>
        <sz val="10"/>
        <color theme="1"/>
        <rFont val="Arial"/>
        <family val="2"/>
      </rPr>
      <t xml:space="preserve">on hospital capacity, medical equipment, research, and information campaigns. </t>
    </r>
  </si>
  <si>
    <t>(iii) €400 bn to provide additional state guarantees to non-financial corporations to alleviate liquidity bottlenecks and support refinancing.
•  For the new and expansion of the existing KfW-programs, the guarantee framework of the federal government was increased by €357 billion. 
•  Total guarantees provided by state governments to be increased by €63 bn.</t>
  </si>
  <si>
    <r>
      <rPr>
        <b/>
        <sz val="10"/>
        <color theme="1"/>
        <rFont val="Arial"/>
        <family val="2"/>
      </rPr>
      <t>Deferred revenue</t>
    </r>
    <r>
      <rPr>
        <sz val="10"/>
        <color theme="1"/>
        <rFont val="Arial"/>
        <family val="2"/>
      </rPr>
      <t>: deferral of tax payments for small and medium enterprises and self-employed for six months, with the first four months exempt from interest.</t>
    </r>
  </si>
  <si>
    <t>•  The government has put in place a £1 bn program to support firms driving innovation and development through grants and loans.</t>
  </si>
  <si>
    <t>• S$20 billion in loan capital was set aside to help businesses and individuals facing cash flow challenges with loan obligations and insurance premium payments.</t>
  </si>
  <si>
    <r>
      <rPr>
        <b/>
        <sz val="10"/>
        <color theme="1"/>
        <rFont val="Arial"/>
        <family val="2"/>
      </rPr>
      <t>Additional spending</t>
    </r>
    <r>
      <rPr>
        <sz val="10"/>
        <color theme="1"/>
        <rFont val="Arial"/>
        <family val="2"/>
      </rPr>
      <t xml:space="preserve">: Increase general public health spending for National Disaster Management Authority (NDMA) to procure healthcare equipment and kits (PKR 75 billion). Budget allocation for an emergency fund to combat Covid-19 (PKR 100 billion).
</t>
    </r>
    <r>
      <rPr>
        <b/>
        <sz val="10"/>
        <color theme="1"/>
        <rFont val="Arial"/>
        <family val="2"/>
      </rPr>
      <t xml:space="preserve">Forgone revenue: </t>
    </r>
    <r>
      <rPr>
        <sz val="10"/>
        <color theme="1"/>
        <rFont val="Arial"/>
        <family val="2"/>
      </rPr>
      <t>Tax exemptions on health supplies.</t>
    </r>
  </si>
  <si>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and no wealth declaration for construction sector projects launched until end 2020 (no cost estimate).</t>
    </r>
  </si>
  <si>
    <r>
      <rPr>
        <b/>
        <sz val="10"/>
        <color theme="1"/>
        <rFont val="Arial"/>
        <family val="2"/>
      </rPr>
      <t xml:space="preserve">Accelerated spending: </t>
    </r>
    <r>
      <rPr>
        <sz val="10"/>
        <color theme="1"/>
        <rFont val="Arial"/>
        <family val="2"/>
      </rPr>
      <t xml:space="preserve">
• Accelerated tax refunds (PKR 100 billion) and duty drawbacks for exporters.
• Accelerated procurement of wheat (PKR 280 billion).
</t>
    </r>
    <r>
      <rPr>
        <b/>
        <sz val="10"/>
        <color theme="1"/>
        <rFont val="Arial"/>
        <family val="2"/>
      </rPr>
      <t xml:space="preserve">Deferred revenue: </t>
    </r>
    <r>
      <rPr>
        <sz val="10"/>
        <color theme="1"/>
        <rFont val="Arial"/>
        <family val="2"/>
      </rPr>
      <t xml:space="preserve">
• Deferral of tax filing by 3 months.
• Power and gas bill deferral (PKR 100 billion).</t>
    </r>
  </si>
  <si>
    <r>
      <rPr>
        <sz val="10"/>
        <color theme="1"/>
        <rFont val="Symbol"/>
        <family val="1"/>
        <charset val="2"/>
      </rPr>
      <t>·</t>
    </r>
    <r>
      <rPr>
        <sz val="7"/>
        <color theme="1"/>
        <rFont val="Arial"/>
        <family val="2"/>
      </rPr>
      <t xml:space="preserve"> </t>
    </r>
    <r>
      <rPr>
        <sz val="10"/>
        <color theme="1"/>
        <rFont val="Arial"/>
        <family val="2"/>
      </rPr>
      <t>A “Temporary Economic Refinance Facility (TERF)” to stimulate new investment in manufacturing at maximum interest rate of 7 percent fixed for 10 years;
• A “Refinance Facility for Combating COVID–19 (RFCC)” to support hospitals and medical centers in combating the spread of the virus at maximum interest rate of 3 percent fixed;
• A temporary refinance scheme for businesses to incentivize against laying off workers during the pandemic, the scheme provides financing for wages and salaries expenses for three months from April to June 2020 at maximum interest rate of 3-5 percent.
• Deferment in the payment of power tariffs for 6 months for low-level consumers.
• Support of bank lending to SMEs, by the government guaranteeing a portion of potential losses.</t>
    </r>
  </si>
  <si>
    <r>
      <t xml:space="preserve">• The State Investment Corporation will raise Rs 4 bn (0.7 percent of GDP) to make equity investments in troubled firms, including SMEs. 
• The Development bank will give Rs 0.2 bn (0.04 percent of GDP) in credit for firms short on cash.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min raised by early May. </t>
    </r>
  </si>
  <si>
    <r>
      <rPr>
        <b/>
        <sz val="10"/>
        <color theme="1"/>
        <rFont val="Arial"/>
        <family val="2"/>
      </rPr>
      <t>Additional spending</t>
    </r>
    <r>
      <rPr>
        <sz val="10"/>
        <color theme="1"/>
        <rFont val="Arial"/>
        <family val="2"/>
      </rPr>
      <t>: A total of N500 bn was allocated for health sector, including contingency funds released to Nigeria’s Center for Disease Control for more testing kits and opening more centers and train medical personnel.</t>
    </r>
  </si>
  <si>
    <r>
      <rPr>
        <b/>
        <sz val="10"/>
        <rFont val="Arial"/>
        <family val="2"/>
      </rPr>
      <t>Additional spending</t>
    </r>
    <r>
      <rPr>
        <sz val="10"/>
        <rFont val="Arial"/>
        <family val="2"/>
      </rPr>
      <t xml:space="preserve"> (BGN 1.5 bn): 
· Transfer to the unemployment fund, to cover both unemployment benefits and the scheme 60/40, under which the state will cover 60 percent of the wages and insurance payments for a three-month period. 
</t>
    </r>
    <r>
      <rPr>
        <sz val="10"/>
        <rFont val="Symbol"/>
        <family val="1"/>
        <charset val="2"/>
      </rPr>
      <t>·</t>
    </r>
    <r>
      <rPr>
        <sz val="10"/>
        <rFont val="Arial"/>
        <family val="2"/>
      </rPr>
      <t xml:space="preserve"> Government announced support scheme for all freelancers for about 1200 people, at a cost of about 2.7 million leva and distributed BGN 610 as an additional bonus to social workers - employees of the Bureau of Labor and the General Labor Inspectorate.
- Government approved one-off cash transfer of BGN 375 to parents, forced to take unpaid leave to care for their children during the state of emergency (means-tested)
- BGN 800 000 for food for people hit by Covid-19 crisis.</t>
    </r>
  </si>
  <si>
    <t xml:space="preserve">• Capital increase in the state-owned bank (BGN 700 mn)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</si>
  <si>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4500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</si>
  <si>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r>
      <t xml:space="preserve">• </t>
    </r>
    <r>
      <rPr>
        <b/>
        <sz val="10"/>
        <color theme="1"/>
        <rFont val="Arial"/>
        <family val="2"/>
      </rPr>
      <t>COVID III Program</t>
    </r>
    <r>
      <rPr>
        <sz val="10"/>
        <color theme="1"/>
        <rFont val="Arial"/>
        <family val="2"/>
      </rPr>
      <t xml:space="preserve"> (Guarantees will cover up to 30% of loan principal. The state will issue 80-90% of the guarantees (total amount of CZK 150bn). Estimates of the amount of guarantees offered will allow SMEs to access loans amounting to CZK500bn. 
• </t>
    </r>
    <r>
      <rPr>
        <b/>
        <sz val="10"/>
        <color theme="1"/>
        <rFont val="Arial"/>
        <family val="2"/>
      </rPr>
      <t>COVID II Program</t>
    </r>
    <r>
      <rPr>
        <sz val="10"/>
        <color theme="1"/>
        <rFont val="Arial"/>
        <family val="2"/>
      </rPr>
      <t xml:space="preserve"> of state guarantees in total amount of CZK 20bn (loans up to CZK 15 million, state contribution on interest costs up to CZK 1 million, state guarantee up to 80% of loan, 3-year maturity)
• </t>
    </r>
    <r>
      <rPr>
        <b/>
        <sz val="10"/>
        <color theme="1"/>
        <rFont val="Arial"/>
        <family val="2"/>
      </rPr>
      <t xml:space="preserve">COVID Plus Program </t>
    </r>
    <r>
      <rPr>
        <sz val="10"/>
        <color theme="1"/>
        <rFont val="Arial"/>
        <family val="2"/>
      </rPr>
      <t xml:space="preserve">of state guarantees provided by Export Guarantee and Insurance Corporation in the amount of CZK 330bn.
• </t>
    </r>
    <r>
      <rPr>
        <b/>
        <sz val="10"/>
        <color theme="1"/>
        <rFont val="Arial"/>
        <family val="2"/>
      </rPr>
      <t>COVID Prague Program</t>
    </r>
  </si>
  <si>
    <t>• NZ $900 mn loan is granted to Air New Zealand, an airline company, of which the government owns 52 percent od shares.
• Maximum NZ $100 thousand loan is granted to small businesses that employ 50 or fewer full time equivalent employees.</t>
  </si>
  <si>
    <r>
      <rPr>
        <sz val="10"/>
        <color theme="1"/>
        <rFont val="Symbol"/>
        <family val="1"/>
        <charset val="2"/>
      </rPr>
      <t>·</t>
    </r>
    <r>
      <rPr>
        <sz val="10"/>
        <color theme="1"/>
        <rFont val="Arial"/>
        <family val="2"/>
      </rPr>
      <t xml:space="preserve"> Soft loans by Social Security Office (30 billion baht at 3 percent) to businesses registered under the Social Security System.</t>
    </r>
    <r>
      <rPr>
        <sz val="10"/>
        <color theme="1"/>
        <rFont val="Arial"/>
        <family val="1"/>
        <charset val="2"/>
      </rPr>
      <t xml:space="preserve">
</t>
    </r>
    <r>
      <rPr>
        <sz val="10"/>
        <color theme="1"/>
        <rFont val="Symbol"/>
        <family val="1"/>
        <charset val="2"/>
      </rPr>
      <t>·</t>
    </r>
    <r>
      <rPr>
        <sz val="10"/>
        <color theme="1"/>
        <rFont val="Arial"/>
        <family val="1"/>
        <charset val="2"/>
      </rPr>
      <t xml:space="preserve"> Soft loans for individuals: (i) THB 40 billion soft loan program at 0.1 percent interest without collateral; (ii) THB 20 billion made available for THB 50 thousand baht per person with collateral. </t>
    </r>
  </si>
  <si>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</si>
  <si>
    <t>Total on-budget 
(A-D)</t>
  </si>
  <si>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t>
  </si>
  <si>
    <r>
      <rPr>
        <b/>
        <sz val="10"/>
        <rFont val="Arial"/>
        <family val="2"/>
      </rPr>
      <t xml:space="preserve">Additional spending (125.2 bn):
• </t>
    </r>
    <r>
      <rPr>
        <sz val="10"/>
        <rFont val="Arial"/>
        <family val="2"/>
      </rPr>
      <t>Compensation for the cancellation and postponement of major events due to COVID-19 (DKK 2.4 bn).
• Temporary salary compensation between 75% and 90% of workers salaries (DKK 6.2 bn), income compensation for the freelancers and self-employed (DKK 14.1 bn) and for companies’ fixed costs (DKK 65.3 bn).
• Sickness benefit reimbursement (DKK 1.7 bn), and increased access to unemployment and sickness benefits (DKK 0.3 bn). 
• Boosting liquidity and facilitating the advancement and completion of various construction projects in the Danish municipalities and regions (DKK 2.5 bn)
• Other initiatives (about DKK 2 bn)
• Extension of initial fiscal measures until July 8. Thus, providing an additional DKK 30.7 billion in fiscal support.</t>
    </r>
  </si>
  <si>
    <r>
      <rPr>
        <b/>
        <sz val="10"/>
        <color theme="1"/>
        <rFont val="Arial"/>
        <family val="2"/>
      </rPr>
      <t>Additional spending</t>
    </r>
    <r>
      <rPr>
        <sz val="10"/>
        <color theme="1"/>
        <rFont val="Arial"/>
        <family val="2"/>
      </rPr>
      <t>: including grants to SMEs through Business Finland and the Employment Centers (€450 million); increased parental allowance  (€94 million); additional social assistance and unemployment benefits (€1.547 billion); additional public safety and border controls; measures to support restaurant to employ workers (€40 million), measures to support businesses for imposed restrictions on activities (€83 million)</t>
    </r>
    <r>
      <rPr>
        <sz val="10"/>
        <rFont val="Arial"/>
        <family val="2"/>
      </rPr>
      <t>, measures to support households and employment (€652 million), additional support for businesses (€520 million), measures to increase public investment (€963 million).</t>
    </r>
    <r>
      <rPr>
        <sz val="10"/>
        <color theme="1"/>
        <rFont val="Arial"/>
        <family val="2"/>
      </rPr>
      <t xml:space="preserve">
</t>
    </r>
    <r>
      <rPr>
        <b/>
        <sz val="10"/>
        <color theme="1"/>
        <rFont val="Arial"/>
        <family val="2"/>
      </rPr>
      <t xml:space="preserve">
Forgone revenue</t>
    </r>
    <r>
      <rPr>
        <sz val="10"/>
        <color theme="1"/>
        <rFont val="Arial"/>
        <family val="2"/>
      </rPr>
      <t xml:space="preserve">: Reduced pension contributions for the period May 1 - 31 December  2020 (€1.05 billion)
</t>
    </r>
  </si>
  <si>
    <r>
      <rPr>
        <b/>
        <sz val="10"/>
        <color theme="1"/>
        <rFont val="Arial"/>
        <family val="2"/>
      </rPr>
      <t>Additional spending</t>
    </r>
    <r>
      <rPr>
        <sz val="10"/>
        <color theme="1"/>
        <rFont val="Arial"/>
        <family val="2"/>
      </rPr>
      <t xml:space="preserve">: Cash payments to the unemployed, self-employed, and to a broader segment of the vulnerable population; distribution of food and household products; measures to support employment under the "Employment Roadmap" initiative (including some large-scale projects to modernize transportation infrastructure).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t>
    </r>
  </si>
  <si>
    <r>
      <rPr>
        <b/>
        <sz val="10"/>
        <color theme="1"/>
        <rFont val="Arial"/>
        <family val="2"/>
      </rPr>
      <t xml:space="preserve">Additional spending (316bn): </t>
    </r>
    <r>
      <rPr>
        <sz val="10"/>
        <color theme="1"/>
        <rFont val="Arial"/>
        <family val="2"/>
      </rPr>
      <t xml:space="preserve">Cash aid to low-income households and social protection measures for vulnerable workers.
</t>
    </r>
    <r>
      <rPr>
        <b/>
        <sz val="10"/>
        <color theme="1"/>
        <rFont val="Arial"/>
        <family val="2"/>
      </rPr>
      <t xml:space="preserve">
Forgone revenue</t>
    </r>
    <r>
      <rPr>
        <sz val="10"/>
        <color theme="1"/>
        <rFont val="Arial"/>
        <family val="2"/>
      </rPr>
      <t xml:space="preserve"> (42 bn): Planned corporate income tax rate reduction from 30 to 20 percent starting in July 2020. </t>
    </r>
  </si>
  <si>
    <r>
      <rPr>
        <b/>
        <sz val="10"/>
        <color theme="1"/>
        <rFont val="Arial"/>
        <family val="2"/>
      </rPr>
      <t>Additional spending</t>
    </r>
    <r>
      <rPr>
        <sz val="10"/>
        <color theme="1"/>
        <rFont val="Arial"/>
        <family val="2"/>
      </rPr>
      <t xml:space="preserve">: RON3.8 billion for health sector  o/w RON0.5 billion for increase in healthcare workers' wages and RON1 billion for sick leaves; RON2.25 billion under the World Bank disaster and risk management facility; and RON0.4 billion additional resources for health budget. 
</t>
    </r>
    <r>
      <rPr>
        <b/>
        <sz val="10"/>
        <color theme="1"/>
        <rFont val="Arial"/>
        <family val="2"/>
      </rPr>
      <t xml:space="preserve">
Forgone revenue: </t>
    </r>
    <r>
      <rPr>
        <sz val="10"/>
        <color theme="1"/>
        <rFont val="Arial"/>
        <family val="2"/>
      </rPr>
      <t>Capping the fee on medicine sales; suspending VAT for medical imports.</t>
    </r>
  </si>
  <si>
    <r>
      <rPr>
        <b/>
        <sz val="10"/>
        <color theme="1"/>
        <rFont val="Arial"/>
        <family val="2"/>
      </rPr>
      <t>Additional spending</t>
    </r>
    <r>
      <rPr>
        <sz val="10"/>
        <color theme="1"/>
        <rFont val="Arial"/>
        <family val="2"/>
      </rPr>
      <t xml:space="preserve">: Paying 75 percent of the gross wage to employees of companies facing difficulties (RON4 billion); paying 75 percent of gross wage to affected self-employed and individual enterprises (RON1.8 billion); covering partially the wages of parents staying home when schools are closed (RON1.5 billion); Reserve Fund (3 billion RON); and quarantine days are treated as paid sick leave. 
</t>
    </r>
    <r>
      <rPr>
        <b/>
        <sz val="10"/>
        <color theme="1"/>
        <rFont val="Arial"/>
        <family val="2"/>
      </rPr>
      <t xml:space="preserve">
Forgone revenue:</t>
    </r>
    <r>
      <rPr>
        <sz val="10"/>
        <color theme="1"/>
        <rFont val="Arial"/>
        <family val="2"/>
      </rPr>
      <t xml:space="preserve"> 5 to 10 percent discount for corporate income tax payments.</t>
    </r>
    <r>
      <rPr>
        <sz val="10"/>
        <color theme="1"/>
        <rFont val="Symbol"/>
        <family val="1"/>
        <charset val="2"/>
      </rPr>
      <t xml:space="preserve">
</t>
    </r>
  </si>
  <si>
    <r>
      <rPr>
        <b/>
        <sz val="10"/>
        <rFont val="Arial"/>
        <family val="2"/>
      </rPr>
      <t>Deferred revenue</t>
    </r>
    <r>
      <rPr>
        <sz val="10"/>
        <rFont val="Arial"/>
        <family val="2"/>
      </rPr>
      <t>: Deferring by 3 months the payment of property taxes; expediting VAT refunds; temporary suspension of tax controls and enforcement; and deferral of rent and utility payments for affected SMEs.</t>
    </r>
  </si>
  <si>
    <r>
      <rPr>
        <b/>
        <sz val="10"/>
        <color theme="1"/>
        <rFont val="Arial"/>
        <family val="2"/>
      </rPr>
      <t>Additional spending</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
Forgone revenue: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</si>
  <si>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and agricultural sector support.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</si>
  <si>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r>
      <rPr>
        <b/>
        <sz val="10"/>
        <color theme="1"/>
        <rFont val="Arial"/>
        <family val="2"/>
      </rPr>
      <t xml:space="preserve">Additional spending: </t>
    </r>
    <r>
      <rPr>
        <sz val="10"/>
        <color theme="1"/>
        <rFont val="Arial"/>
        <family val="2"/>
      </rPr>
      <t xml:space="preserve">Temporary unemployment benefits to formal workers (0.6 percent of GDP), delivery of food supplies to poor families (0.2 percent of GDP), and cash transfers to informal workers (0.4 percent of GDP).
</t>
    </r>
    <r>
      <rPr>
        <b/>
        <sz val="10"/>
        <color theme="1"/>
        <rFont val="Arial"/>
        <family val="2"/>
      </rPr>
      <t xml:space="preserve">
Foregone revenue: </t>
    </r>
    <r>
      <rPr>
        <sz val="10"/>
        <color theme="1"/>
        <rFont val="Arial"/>
        <family val="2"/>
      </rPr>
      <t xml:space="preserve">Measures on medical supplies and free economic zones (0.1 percent of GDP).
</t>
    </r>
  </si>
  <si>
    <t>• State-owned enterprises and banks have been asked to support the private sector through loan restructuring, lowering lease payments (by real estate companies), halting evictions, etc.</t>
  </si>
  <si>
    <t>• Capital injection into the Development Bank of Ethiopia by the Ministry of Finance. Not strictly related to Covid, but aimed at facilitating lending by DBE to private enterprises.</t>
  </si>
  <si>
    <t>• Soft loan scheme to support MSMEs including a one-year postponement of interest payments for non-marketable debt and a two-year repayment period.</t>
  </si>
  <si>
    <t>• Public development bank Banhprovi will provide $275 mn in guarantees to cover potential losses on new loans to SMEs and other companies, with varying coverage of commercial banks' exposures on the loans covered by the guarantee scheme. The scheme will be funded with loans from the regional development bank CABEI.</t>
  </si>
  <si>
    <t>• Public development bank Banhprovi will deploy additional $225 mn to finance loans to SME and other sectors affected by the pandemic.</t>
  </si>
  <si>
    <r>
      <rPr>
        <b/>
        <sz val="10"/>
        <color theme="1"/>
        <rFont val="Arial"/>
        <family val="2"/>
      </rPr>
      <t>Additional spending (11.1bn)</t>
    </r>
    <r>
      <rPr>
        <sz val="10"/>
        <color theme="1"/>
        <rFont val="Arial"/>
        <family val="2"/>
      </rPr>
      <t xml:space="preserve">: Social protection and cash transfers; food relief; and funds for expediting payments of existing obligations to maintain cash flow for businesses during the crisis.
</t>
    </r>
    <r>
      <rPr>
        <b/>
        <sz val="10"/>
        <color theme="1"/>
        <rFont val="Arial"/>
        <family val="2"/>
      </rPr>
      <t xml:space="preserve">
Forgone revenue (40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t>
    </r>
  </si>
  <si>
    <r>
      <rPr>
        <b/>
        <sz val="10"/>
        <color theme="1"/>
        <rFont val="Arial"/>
        <family val="2"/>
      </rPr>
      <t>Additional spending</t>
    </r>
    <r>
      <rPr>
        <sz val="10"/>
        <color theme="1"/>
        <rFont val="Arial"/>
        <family val="2"/>
      </rPr>
      <t xml:space="preserve">: Conditional cash transfers are provided to households on the social register, the coverage of which is being expanded from 2.6m to 3.6m households. School feeding programs continue even with school closures. A Special Public Works program is set up.
</t>
    </r>
    <r>
      <rPr>
        <b/>
        <sz val="10"/>
        <color theme="1"/>
        <rFont val="Arial"/>
        <family val="2"/>
      </rPr>
      <t xml:space="preserve">
Forgone revenue:</t>
    </r>
    <r>
      <rPr>
        <sz val="10"/>
        <color theme="1"/>
        <rFont val="Arial"/>
        <family val="2"/>
      </rPr>
      <t xml:space="preserve"> Income tax relief and import duty waivers for medicine and medical goods will be introduced. Electricity tariff increases are being postponed.</t>
    </r>
  </si>
  <si>
    <r>
      <rPr>
        <b/>
        <sz val="10"/>
        <color theme="1"/>
        <rFont val="Arial"/>
        <family val="2"/>
      </rPr>
      <t>Additional spendin</t>
    </r>
    <r>
      <rPr>
        <b/>
        <sz val="10"/>
        <rFont val="Arial"/>
        <family val="2"/>
      </rPr>
      <t>g</t>
    </r>
    <r>
      <rPr>
        <sz val="10"/>
        <rFont val="Arial"/>
        <family val="2"/>
      </rPr>
      <t xml:space="preserve">: Additional spending on medical equipment and materials. </t>
    </r>
    <r>
      <rPr>
        <sz val="10"/>
        <color theme="1"/>
        <rFont val="Arial"/>
        <family val="2"/>
      </rPr>
      <t xml:space="preserve">Treatment costs of Covid-19 positive patients are covered by either Health Insurance Fund (under Vietnam Social Security) or by the state budget.
</t>
    </r>
    <r>
      <rPr>
        <b/>
        <sz val="10"/>
        <color theme="1"/>
        <rFont val="Arial"/>
        <family val="2"/>
      </rPr>
      <t xml:space="preserve">
Forgone revenue</t>
    </r>
    <r>
      <rPr>
        <sz val="10"/>
        <color theme="1"/>
        <rFont val="Arial"/>
        <family val="2"/>
      </rPr>
      <t xml:space="preserve">: Exemption of import tariff for medical material. Suspension of VAT for domestically produced medical material. </t>
    </r>
  </si>
  <si>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t>
    </r>
    <r>
      <rPr>
        <b/>
        <sz val="10"/>
        <color theme="1"/>
        <rFont val="Arial"/>
        <family val="2"/>
      </rPr>
      <t xml:space="preserve">
Forgone revenue: </t>
    </r>
    <r>
      <rPr>
        <sz val="10"/>
        <color theme="1"/>
        <rFont val="Arial"/>
        <family val="2"/>
      </rPr>
      <t xml:space="preserve">Raise the deductibles of personal income tax starting in July, including individual thresholds and dependent deduction. Fees reduction for supporting firms and workers, effectively from May through December 2020,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</si>
  <si>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r>
      <t xml:space="preserve">Accelerated spending: </t>
    </r>
    <r>
      <rPr>
        <sz val="10"/>
        <rFont val="Arial"/>
        <family val="2"/>
      </rPr>
      <t>Government is targeting 100 percent disbursement of public investment capital valued VND 686 trillion or nearly 9 percent of GDP (of which VND 225 trillion is carried-over from previous years).</t>
    </r>
    <r>
      <rPr>
        <b/>
        <sz val="10"/>
        <rFont val="Arial"/>
        <family val="2"/>
      </rPr>
      <t xml:space="preserve">
Deferred revenue: </t>
    </r>
    <r>
      <rPr>
        <sz val="10"/>
        <rFont val="Arial"/>
        <family val="2"/>
      </rPr>
      <t>Payments of VAT, CIT and of land rental fees are deferred by 5 months, and payment of PIT tax obligations is deferred to year-end (total value of VND 180 tn).</t>
    </r>
    <r>
      <rPr>
        <b/>
        <sz val="10"/>
        <rFont val="Arial"/>
        <family val="2"/>
      </rPr>
      <t xml:space="preserve"> </t>
    </r>
    <r>
      <rPr>
        <sz val="10"/>
        <rFont val="Arial"/>
        <family val="2"/>
      </rPr>
      <t>In addition, affected firms and workers are allowed to defer their contribution (up to 12 months) to the pension fund and survivor-ship fund with no interest penalty for late payment (estimated to be VND 9.5 tn).</t>
    </r>
  </si>
  <si>
    <t>• Proposal to cut electricity prices by 10 percent for certain enterprises and households, and exempt payment for quarantine zones, with Vietnam Electricity (EVN) bearing costs of price adjustment.</t>
  </si>
  <si>
    <r>
      <rPr>
        <b/>
        <sz val="10"/>
        <rFont val="Arial"/>
        <family val="2"/>
      </rPr>
      <t>Additional spending:</t>
    </r>
    <r>
      <rPr>
        <sz val="10"/>
        <rFont val="Arial"/>
        <family val="2"/>
      </rPr>
      <t xml:space="preserve"> 
• Increased payment for sick-leave: Employees affected during the shutdown due to government measures will receive full wages of which the government will cover 80 percent (up to CZK 39,000/month). Staff in businesses affected receive 60-100% of gross wages with a state contribution of 60% of total labor costs per employee (up to CZK 29,000/month).
• Allowance to parents, who cannot work because they need to care for children up to 13 years, of 80% of eligible income (calculated based on a progressive table) for sick leave.
• Self-employed receive lump sum of CZK 500 per day during Mar 12 and Jun 8 and have access to sick leave (same regime as that for full-time employees).
• Additional lump-sum assistance grant (CZK 500 per day) to micro businesses during Mar 12 and Jun 6. Eligible businesses are limited liability companies with up to two partners and turnover of at least at CZK 180,000 in 2019. 
• The state covers half of business property rents in Q2.
</t>
    </r>
    <r>
      <rPr>
        <b/>
        <sz val="10"/>
        <rFont val="Arial"/>
        <family val="2"/>
      </rPr>
      <t xml:space="preserve">
Forgone Revenue:</t>
    </r>
    <r>
      <rPr>
        <sz val="10"/>
        <rFont val="Arial"/>
        <family val="2"/>
      </rPr>
      <t xml:space="preserve"> 
•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 Loss carryback measure: Taxpayers who report tax losses in 2020 due to the state of emergency, will be able to reduce their tax bases for the tax years 2019 and 2018 by this loss (maximum CZK 30 million).
• Reduced VAT rate to 10% for accommodation, sports and culture services.
• Reduced road tax rate for vehicles above 3.5t.
• Abolition of the real property transfer tax.
• Programs in support of the sports, culture, and agriculture sectors.</t>
    </r>
  </si>
  <si>
    <r>
      <rPr>
        <b/>
        <sz val="10"/>
        <rFont val="Arial"/>
        <family val="2"/>
      </rPr>
      <t xml:space="preserve">Additional spending (RMB 2.9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1.1 tn):
</t>
    </r>
    <r>
      <rPr>
        <sz val="10"/>
        <rFont val="Arial"/>
        <family val="2"/>
      </rPr>
      <t xml:space="preserve">•  VAT exemptions for goods and services related to epidemic control and for small taxpayers in Hubei; and VAT rate cut from 3% to 1% in other regions until the year end.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June (April). </t>
    </r>
  </si>
  <si>
    <r>
      <rPr>
        <b/>
        <sz val="10"/>
        <rFont val="Arial"/>
        <family val="2"/>
      </rPr>
      <t>Accelerated spending:</t>
    </r>
    <r>
      <rPr>
        <sz val="10"/>
        <rFont val="Arial"/>
        <family val="2"/>
      </rPr>
      <t xml:space="preserve"> Accelerated issuance of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(no estimate).</t>
    </r>
  </si>
  <si>
    <r>
      <rPr>
        <b/>
        <sz val="10"/>
        <color theme="1"/>
        <rFont val="Arial"/>
        <family val="2"/>
      </rPr>
      <t>Additional spending (SEK 205.3 bn):  
·</t>
    </r>
    <r>
      <rPr>
        <sz val="10"/>
        <color theme="1"/>
        <rFont val="Arial"/>
        <family val="2"/>
      </rPr>
      <t xml:space="preserve"> Includes additional expenditures on wage subsidies for short-term leave, temporary grants to businesses based on their loss of turnover to cover their fixed cost;
· temporary payment of sick leave, extra funding to the cultural sector and sports sector, rent subsidies to certain sectors, more generous unemployment benefits; 
· expanded active labor market policies, more funding for education and training; 
· supplementary housing allowances to families with children, infrastructure investment and extra support to public transport; general grants to municipalities and regions. </t>
    </r>
    <r>
      <rPr>
        <b/>
        <sz val="10"/>
        <color theme="1"/>
        <rFont val="Arial"/>
        <family val="2"/>
      </rPr>
      <t xml:space="preserve">
Forgone revenue (SEK 33 bn): </t>
    </r>
    <r>
      <rPr>
        <sz val="10"/>
        <color theme="1"/>
        <rFont val="Arial"/>
        <family val="2"/>
      </rPr>
      <t xml:space="preserve">Temporary reduction in employers' social security contributions. </t>
    </r>
  </si>
  <si>
    <r>
      <rPr>
        <b/>
        <sz val="10"/>
        <color theme="1"/>
        <rFont val="Arial"/>
        <family val="2"/>
      </rPr>
      <t xml:space="preserve">Deferred revenue: </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All large companies (except banks, telecommunication, SOE-s and companies in the chain of supply of essential goods) can defer the corporate income tax installments for Q2 and Q3 2020 to Q2 - Q3 2021.
</t>
    </r>
    <r>
      <rPr>
        <sz val="10"/>
        <color theme="1"/>
        <rFont val="Symbol"/>
        <family val="1"/>
        <charset val="2"/>
      </rPr>
      <t xml:space="preserve">· </t>
    </r>
    <r>
      <rPr>
        <sz val="10"/>
        <color theme="1"/>
        <rFont val="Arial"/>
        <family val="2"/>
      </rPr>
      <t>For tourism, active processing and call centers – and small businesses with turnover of Lk14 mn or less – the payment of Q2, Q3 and Q4 of 2020 profit tax is deferred to Q2-Q4 2021.</t>
    </r>
  </si>
  <si>
    <r>
      <rPr>
        <b/>
        <sz val="10"/>
        <color theme="1"/>
        <rFont val="Arial"/>
        <family val="2"/>
      </rPr>
      <t xml:space="preserve">Accelerated spending: </t>
    </r>
    <r>
      <rPr>
        <sz val="10"/>
        <color theme="1"/>
        <rFont val="Arial"/>
        <family val="2"/>
      </rPr>
      <t xml:space="preserve">Accelerated CIT and VAT refunds for corporates. 
</t>
    </r>
    <r>
      <rPr>
        <b/>
        <sz val="10"/>
        <color theme="1"/>
        <rFont val="Arial"/>
        <family val="2"/>
      </rPr>
      <t xml:space="preserve">
Deferred revenue</t>
    </r>
    <r>
      <rPr>
        <sz val="10"/>
        <color theme="1"/>
        <rFont val="Arial"/>
        <family val="2"/>
      </rPr>
      <t>: Delayed VAT and CIT payments until December.</t>
    </r>
  </si>
  <si>
    <r>
      <rPr>
        <b/>
        <sz val="10"/>
        <color theme="1"/>
        <rFont val="Arial"/>
        <family val="2"/>
      </rPr>
      <t>Additional spending:</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(around 0.7 percent of GDP).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transfer of 243 thousand million pesos to cover hospital payrolls.
</t>
    </r>
    <r>
      <rPr>
        <b/>
        <sz val="10"/>
        <color theme="1"/>
        <rFont val="Arial"/>
        <family val="2"/>
      </rPr>
      <t xml:space="preserve">
Forgone revenue:</t>
    </r>
    <r>
      <rPr>
        <sz val="10"/>
        <color theme="1"/>
        <rFont val="Arial"/>
        <family val="2"/>
      </rPr>
      <t xml:space="preserve"> a reduction of tariffs for strategic health imports, no VAT on over 100 medical goods.</t>
    </r>
  </si>
  <si>
    <t>• The federal government announced guarantees of up to RUB 500 bn on bank lending to firms, including RUB 220 bn in guarantees to VEB to guarantee bank credit to systematically-important enterprises.</t>
  </si>
  <si>
    <t>Health sector</t>
  </si>
  <si>
    <t>Additional spending or foregone revenues</t>
  </si>
  <si>
    <t>Accelerated spending / deferred revenue</t>
  </si>
  <si>
    <t>Non-health sector</t>
  </si>
  <si>
    <t>Liquidity support</t>
  </si>
  <si>
    <t>(USD billion and percent of GDP)</t>
  </si>
  <si>
    <t>G20: Advanced economies</t>
  </si>
  <si>
    <t>Other Selected Advanced Economies</t>
  </si>
  <si>
    <t xml:space="preserve">Note: Numbers in U.S. dollar and percent of GDP are based on June 2020 World Economic Outlook Update for 2020 unless otherwise stated. For Argentina, U.S. dollar values use end-May 2020 exchange rate. </t>
  </si>
  <si>
    <r>
      <rPr>
        <b/>
        <sz val="8.5"/>
        <color theme="1"/>
        <rFont val="Arial"/>
        <family val="2"/>
      </rPr>
      <t>Below the line measures:</t>
    </r>
    <r>
      <rPr>
        <sz val="8.5"/>
        <color theme="1"/>
        <rFont val="Arial"/>
        <family val="2"/>
      </rPr>
      <t xml:space="preserve"> equity injections, loans, asset purchase or debt assumptions.</t>
    </r>
  </si>
  <si>
    <r>
      <t xml:space="preserve">· The Polish Development Fund is providing liquidity loans and subsidies for micro, small/medium, and large enterprises. The total value of the program equals PLN 100 billion. Approximately 60 percent of the financing may be non-returnable, with relevant conditions related to maintaining employment, continuing business activity, and the level of lost sales. </t>
    </r>
    <r>
      <rPr>
        <sz val="10"/>
        <rFont val="Arial"/>
        <family val="2"/>
      </rPr>
      <t>The nonreturnable portion is treated as an above the line expenditure item</t>
    </r>
    <r>
      <rPr>
        <sz val="10"/>
        <color theme="1"/>
        <rFont val="Arial"/>
        <family val="2"/>
      </rPr>
      <t>.</t>
    </r>
  </si>
  <si>
    <r>
      <t xml:space="preserve">Additional spending (€2.1 bn): </t>
    </r>
    <r>
      <rPr>
        <sz val="10"/>
        <color theme="1"/>
        <rFont val="Arial"/>
        <family val="2"/>
      </rPr>
      <t>on medical equipment, tests, administration etc.</t>
    </r>
    <r>
      <rPr>
        <b/>
        <sz val="10"/>
        <color theme="1"/>
        <rFont val="Arial"/>
        <family val="2"/>
      </rPr>
      <t xml:space="preserve">
</t>
    </r>
  </si>
  <si>
    <r>
      <t xml:space="preserve">Additional spending:  </t>
    </r>
    <r>
      <rPr>
        <sz val="10"/>
        <color theme="1"/>
        <rFont val="Arial"/>
        <family val="2"/>
      </rPr>
      <t xml:space="preserve">Support to public clinics, provision of lab tests; treatment of patients; medical supply and equipment acquisition. </t>
    </r>
    <r>
      <rPr>
        <b/>
        <sz val="10"/>
        <color theme="1"/>
        <rFont val="Arial"/>
        <family val="2"/>
      </rPr>
      <t xml:space="preserve">
Forgone revenue: </t>
    </r>
    <r>
      <rPr>
        <sz val="10"/>
        <color theme="1"/>
        <rFont val="Arial"/>
        <family val="2"/>
      </rPr>
      <t>VAT waiver on the supply of pharmaceutical goods produced nationally.</t>
    </r>
  </si>
  <si>
    <r>
      <rPr>
        <b/>
        <sz val="10"/>
        <rFont val="Arial"/>
        <family val="2"/>
      </rPr>
      <t>Additional spending</t>
    </r>
    <r>
      <rPr>
        <sz val="10"/>
        <rFont val="Arial"/>
        <family val="2"/>
      </rPr>
      <t xml:space="preserve">: Additional spending on healthcare equipment, testing; compensation against COVID-19 related health risks of officials, doctors and field staff; hiring of additional healthcare workers, etc.  
</t>
    </r>
    <r>
      <rPr>
        <b/>
        <sz val="10"/>
        <rFont val="Arial"/>
        <family val="2"/>
      </rPr>
      <t>Forgone revenue</t>
    </r>
    <r>
      <rPr>
        <sz val="10"/>
        <rFont val="Arial"/>
        <family val="2"/>
      </rPr>
      <t>: The National Board of Revenue has temporarily suspended duties and taxes on imports of medical supplies, including protective equipment and test kits.</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</si>
  <si>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 Provision of targeted social assistance to those who lost their jobs or were put on an unpaid leave (1,200 GEL over the course of 6 months). 
</t>
    </r>
    <r>
      <rPr>
        <sz val="10"/>
        <color theme="1"/>
        <rFont val="Symbol"/>
        <family val="1"/>
        <charset val="2"/>
      </rPr>
      <t>·</t>
    </r>
    <r>
      <rPr>
        <sz val="10"/>
        <color theme="1"/>
        <rFont val="Arial"/>
        <family val="2"/>
      </rPr>
      <t xml:space="preserve"> A state subsidy for employers who maintain jobs. Over the course of 6 months: (1) salaries up to 750 GEL will be fully exempt from income tax; and (2) for salaries up to 1,500 GEL, 750 GEL will be exempt from income tax; One-time assistance of 300 GEL will be provided to people who are self-employed or employed in the “informal sector”; 
</t>
    </r>
    <r>
      <rPr>
        <sz val="10"/>
        <color theme="1"/>
        <rFont val="Symbol"/>
        <family val="1"/>
        <charset val="2"/>
      </rPr>
      <t>·</t>
    </r>
    <r>
      <rPr>
        <sz val="10"/>
        <color theme="1"/>
        <rFont val="Arial"/>
        <family val="2"/>
      </rPr>
      <t xml:space="preserve"> Cash transfers to vulnerable families and to compensate job loss (for self-employed, employees, and informal workers).
</t>
    </r>
    <r>
      <rPr>
        <b/>
        <sz val="10"/>
        <color theme="1"/>
        <rFont val="Arial"/>
        <family val="2"/>
      </rPr>
      <t xml:space="preserve">
Forgone revenue:
</t>
    </r>
    <r>
      <rPr>
        <sz val="10"/>
        <color theme="1"/>
        <rFont val="Arial"/>
        <family val="2"/>
      </rPr>
      <t>• Income tax relief to businesses who retain workers.
• Property tax waiver to the tourism sector.</t>
    </r>
  </si>
  <si>
    <t>• Within the frame of the new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t>
  </si>
  <si>
    <r>
      <rPr>
        <b/>
        <sz val="10"/>
        <color theme="1"/>
        <rFont val="Arial"/>
        <family val="2"/>
      </rPr>
      <t>Additional spending:</t>
    </r>
    <r>
      <rPr>
        <sz val="10"/>
        <color theme="1"/>
        <rFont val="Arial"/>
        <family val="2"/>
      </rPr>
      <t xml:space="preserve"> Resources to hire social and health workers nationwide. Part of the additional increased spending will finance additional health care needs. </t>
    </r>
  </si>
  <si>
    <r>
      <rPr>
        <b/>
        <sz val="10"/>
        <color theme="1"/>
        <rFont val="Arial"/>
        <family val="2"/>
      </rPr>
      <t>Additional spending:</t>
    </r>
    <r>
      <rPr>
        <sz val="10"/>
        <color theme="1"/>
        <rFont val="Arial"/>
        <family val="2"/>
      </rPr>
      <t xml:space="preserve"> Transfers to municipalities that have large health expenses due to the pandemic. Various other measures to strengthen the health care sector. 
</t>
    </r>
    <r>
      <rPr>
        <b/>
        <sz val="10"/>
        <color theme="1"/>
        <rFont val="Arial"/>
        <family val="2"/>
      </rPr>
      <t>Forgone revenue:</t>
    </r>
    <r>
      <rPr>
        <sz val="10"/>
        <color theme="1"/>
        <rFont val="Arial"/>
        <family val="2"/>
      </rPr>
      <t xml:space="preserve">  The financial situation in the hospital trust is strengthened through increased appropriations and temporary reduced employer tax. </t>
    </r>
  </si>
  <si>
    <r>
      <rPr>
        <b/>
        <sz val="10"/>
        <color theme="1"/>
        <rFont val="Arial"/>
        <family val="2"/>
      </rPr>
      <t>Additional spending</t>
    </r>
    <r>
      <rPr>
        <sz val="10"/>
        <color theme="1"/>
        <rFont val="Arial"/>
        <family val="2"/>
      </rPr>
      <t xml:space="preserve">: 
• Expenditure measures include larger wage subsidies for temporary lay-offs and more generous unemployment benefits; expanded sickness benefits and child care; scheme to compensate heavily affected, but otherwise sustainable, businesses for unavoidable fixed costs, grants for start-ups; subsidies for domestic air routes.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The reduced VAT rate is temporarily lowered from 12 to 6 percent; suspension of aviation charges; corporate income tax regulations are amended so that companies can re-allocate their current losses towards previous years’ taxed profits, thus lowering their tax liabilities.
• Temporary cut of employers’ social insurance contributions.
• Reduced employer tax in May and June.</t>
    </r>
  </si>
  <si>
    <r>
      <rPr>
        <b/>
        <sz val="10"/>
        <color theme="1"/>
        <rFont val="Arial"/>
        <family val="2"/>
      </rPr>
      <t>Additional spending</t>
    </r>
    <r>
      <rPr>
        <sz val="10"/>
        <color theme="1"/>
        <rFont val="Arial"/>
        <family val="2"/>
      </rPr>
      <t xml:space="preserve">: 
•The government committed US$100 million to support preparedness and response, and about US$160 million under its Coronavirus Alleviation Programme to the promotion of selected industries (e.g., pharmaceutical sector supplying COVID-19 drugs and equipment), the support of SMEs, and employment.
</t>
    </r>
    <r>
      <rPr>
        <sz val="10"/>
        <color theme="1"/>
        <rFont val="Symbol"/>
        <family val="1"/>
        <charset val="2"/>
      </rPr>
      <t>·</t>
    </r>
    <r>
      <rPr>
        <sz val="8"/>
        <color theme="1"/>
        <rFont val="Arial"/>
        <family val="2"/>
      </rPr>
      <t xml:space="preserve"> </t>
    </r>
    <r>
      <rPr>
        <sz val="10"/>
        <color theme="1"/>
        <rFont val="Arial"/>
        <family val="2"/>
      </rPr>
      <t xml:space="preserve">Food packages and National Buffer Stock Company and subsidies for water and sanitation bills.
</t>
    </r>
    <r>
      <rPr>
        <sz val="10"/>
        <color theme="1"/>
        <rFont val="Symbol"/>
        <family val="1"/>
        <charset val="2"/>
      </rPr>
      <t>·</t>
    </r>
    <r>
      <rPr>
        <sz val="10"/>
        <color theme="1"/>
        <rFont val="Arial"/>
        <family val="2"/>
      </rPr>
      <t xml:space="preserve"> Subsidies for water and sanitation bills. </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</si>
  <si>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</si>
  <si>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r>
      <rPr>
        <b/>
        <sz val="10"/>
        <color theme="1"/>
        <rFont val="Arial"/>
        <family val="2"/>
      </rPr>
      <t>Additional spending</t>
    </r>
    <r>
      <rPr>
        <sz val="10"/>
        <color theme="1"/>
        <rFont val="Arial"/>
        <family val="2"/>
      </rPr>
      <t xml:space="preserve">: Spending on medical buildings, equipment, staff, and medical supplies.
</t>
    </r>
    <r>
      <rPr>
        <b/>
        <sz val="10"/>
        <color theme="1"/>
        <rFont val="Arial"/>
        <family val="2"/>
      </rPr>
      <t>Forgone revenue:</t>
    </r>
    <r>
      <rPr>
        <sz val="10"/>
        <color theme="1"/>
        <rFont val="Arial"/>
        <family val="2"/>
      </rPr>
      <t xml:space="preserve"> Expedite imports of PPEs and medical goods.</t>
    </r>
  </si>
  <si>
    <r>
      <rPr>
        <b/>
        <sz val="10"/>
        <color theme="1"/>
        <rFont val="Arial"/>
        <family val="2"/>
      </rPr>
      <t>Additional spending:</t>
    </r>
    <r>
      <rPr>
        <sz val="10"/>
        <color theme="1"/>
        <rFont val="Arial"/>
        <family val="2"/>
      </rPr>
      <t xml:space="preserve"> (i) social safety net programs: urgent food aid, subsidies to help the most vulnerable to pay utility bills (water, electricity) and support to diaspora (FCFA 103 billion - 0.72% of GDP), (ii) other economic support measures, such as direct support to heavily hit sectors (FCFA 100 bn - 0.70% of GDP), (iii) some arrears to private sector suppliers will be settled faster than originally anticipated (FCFA 87 billion - 0.61% of GDP), and (iv) action on securing key food and energy supplies (FCFA 22 billion - 0.15% of GDP).
</t>
    </r>
    <r>
      <rPr>
        <b/>
        <sz val="10"/>
        <color theme="1"/>
        <rFont val="Arial"/>
        <family val="2"/>
      </rPr>
      <t xml:space="preserve">
Forgone revenue</t>
    </r>
    <r>
      <rPr>
        <sz val="10"/>
        <color theme="1"/>
        <rFont val="Arial"/>
        <family val="2"/>
      </rPr>
      <t>: Tax rebates for companies that keep their workers on payroll or pay 70% of salary (FCFA 40 billion).</t>
    </r>
  </si>
  <si>
    <r>
      <rPr>
        <b/>
        <sz val="10"/>
        <color theme="1"/>
        <rFont val="Arial"/>
        <family val="2"/>
      </rPr>
      <t xml:space="preserve">Additional spending </t>
    </r>
    <r>
      <rPr>
        <sz val="10"/>
        <color theme="1"/>
        <rFont val="Arial"/>
        <family val="2"/>
      </rPr>
      <t xml:space="preserve">(TND 0.3 bn): Additional health spending, including the creation of a fund for the acquisition of equipment for public hospitals (TND 0.1 bn).
</t>
    </r>
    <r>
      <rPr>
        <b/>
        <sz val="10"/>
        <color theme="1"/>
        <rFont val="Arial"/>
        <family val="2"/>
      </rPr>
      <t>Forgone revenue:</t>
    </r>
    <r>
      <rPr>
        <sz val="10"/>
        <color theme="1"/>
        <rFont val="Arial"/>
        <family val="2"/>
      </rPr>
      <t xml:space="preserve"> Waiver of VAT for businesses selling medicines (TND 0.03 bn).</t>
    </r>
  </si>
  <si>
    <r>
      <rPr>
        <b/>
        <sz val="10"/>
        <color theme="1"/>
        <rFont val="Arial"/>
        <family val="2"/>
      </rPr>
      <t>Additional spending</t>
    </r>
    <r>
      <rPr>
        <sz val="10"/>
        <color theme="1"/>
        <rFont val="Arial"/>
        <family val="2"/>
      </rPr>
      <t xml:space="preserve"> (TND 1.48bn):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t>
    </r>
    <r>
      <rPr>
        <b/>
        <sz val="10"/>
        <color theme="1"/>
        <rFont val="Arial"/>
        <family val="2"/>
      </rPr>
      <t xml:space="preserve">Forgone revenue </t>
    </r>
    <r>
      <rPr>
        <sz val="10"/>
        <color theme="1"/>
        <rFont val="Arial"/>
        <family val="2"/>
      </rPr>
      <t xml:space="preserve">(TND 0.03 bn):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</si>
  <si>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</si>
  <si>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t xml:space="preserve">• Establishing a financing line for SMEs (TND 0.3 bn). 
</t>
    </r>
    <r>
      <rPr>
        <sz val="10"/>
        <color theme="1"/>
        <rFont val="Symbol"/>
        <family val="1"/>
        <charset val="2"/>
      </rPr>
      <t>·</t>
    </r>
    <r>
      <rPr>
        <sz val="8"/>
        <color theme="1"/>
        <rFont val="Arial"/>
        <family val="2"/>
      </rPr>
      <t xml:space="preserve"> </t>
    </r>
    <r>
      <rPr>
        <sz val="10"/>
        <color theme="1"/>
        <rFont val="Arial"/>
        <family val="2"/>
      </rPr>
      <t xml:space="preserve">Activate a mechanism for the State to take charge of the interest rate differential between the TMM and the effective interest rate, on investment loans for SMEs (max 3%): (0.04 TND bn)
• Some extra-budgetary funds on public donation to the health sector (TND 0.186bn). 
• Investment fund to finance private companies to preserve jobs (TND 0.5bn). 
• A bridging fund for repurchase of shares in investment funds (TND 0.1bn). </t>
    </r>
  </si>
  <si>
    <r>
      <rPr>
        <b/>
        <sz val="10"/>
        <rFont val="Arial"/>
        <family val="2"/>
      </rPr>
      <t>Accelerated spending (€23 bn):</t>
    </r>
    <r>
      <rPr>
        <sz val="10"/>
        <rFont val="Arial"/>
        <family val="2"/>
      </rPr>
      <t xml:space="preserve"> advance refund of tax credits (e.g. CIT and VAT).
</t>
    </r>
    <r>
      <rPr>
        <b/>
        <sz val="10"/>
        <rFont val="Arial"/>
        <family val="2"/>
      </rPr>
      <t xml:space="preserve">Deferred revenue (€32.5 bn): </t>
    </r>
    <r>
      <rPr>
        <sz val="10"/>
        <rFont val="Arial"/>
        <family val="2"/>
      </rPr>
      <t>Postponement of social security contributions and tax payment for companies from Q2 to Q3.</t>
    </r>
  </si>
  <si>
    <t xml:space="preserve">• State guarantees for liquidity bank loans to companies and credit reinsurance schemes. </t>
  </si>
  <si>
    <r>
      <rPr>
        <b/>
        <sz val="10"/>
        <color theme="1"/>
        <rFont val="Arial"/>
        <family val="2"/>
      </rPr>
      <t>Additional spending (JPY 4.1 tn):</t>
    </r>
    <r>
      <rPr>
        <sz val="10"/>
        <color theme="1"/>
        <rFont val="Arial"/>
        <family val="2"/>
      </rPr>
      <t xml:space="preserve">
• Production, procurement, and distribution of critical equipment such as masks and ventilators (JPY 0.6 tn).
• Transfers to local governments to be used for their health- and long-term care related measures including cash handouts to medical and long-term care practitioners (JPY 2.4 tn).
• Other health-related measures, e.g., vaccine development, etc. (JPY 1.1 tn).</t>
    </r>
  </si>
  <si>
    <t>•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new Covid-19 Corporate Financing Facility (CCFF), the Bank of England will buy short term debt from larger companies. The combined size of the CBILS, CLBILS, and CCCF schemes is £330 bn. 
•  The Bounce Back Loan Scheme will help SMEs to borrow between £2K and £50K for up to 6 years, with the government guaranteeing 100 percent of the loan and SMEs not paying any fees or interest in the first 12 months.
•  Trade credit Insurance for business-to-business transactions will receive up to £10 billion of government guarantees through the Trade Credit Reinsurance scheme.</t>
  </si>
  <si>
    <r>
      <rPr>
        <b/>
        <sz val="10"/>
        <color theme="1"/>
        <rFont val="Arial"/>
        <family val="2"/>
      </rPr>
      <t xml:space="preserve">Additional spending ($1599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$268 bn unemployment insurance and $440 bn in emergency appropriations, and $349 bn forgivable small business loans and other items. Estimated increase in spending from this Act is $1175.7bn.
• Paycheck Protection Program and Health Care Enhancement Act (April 23, 2020) includes $62.1 bn for the Small Business Administration's loan programs and other expense, and $321 bn for the Paycheck Protection Program.
</t>
    </r>
    <r>
      <rPr>
        <b/>
        <sz val="10"/>
        <color theme="1"/>
        <rFont val="Arial"/>
        <family val="2"/>
      </rPr>
      <t xml:space="preserve">Forgone revenue ($540 bn): </t>
    </r>
    <r>
      <rPr>
        <sz val="10"/>
        <color theme="1"/>
        <rFont val="Arial"/>
        <family val="2"/>
      </rPr>
      <t xml:space="preserve">
• Coronavirus Aid, Relief, and Economic Security Act (March 27, 2020) includes tax rebates: $1,200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$446 bn.
• Families First Coronavirus Response Act (March 16, 2020) has revenue implications on the budget, estimated to cost around $94 bn.</t>
    </r>
  </si>
  <si>
    <r>
      <rPr>
        <b/>
        <sz val="10"/>
        <color theme="1"/>
        <rFont val="Arial"/>
        <family val="2"/>
      </rPr>
      <t xml:space="preserve">Additional spending:
• </t>
    </r>
    <r>
      <rPr>
        <sz val="10"/>
        <color theme="1"/>
        <rFont val="Arial"/>
        <family val="2"/>
      </rPr>
      <t xml:space="preserve">Expanded transfers for vulnerable groups (0.25 percent of GDP), including expanded social programs and support to workers in the informal sector. 
• Payroll subsidy for three months equivalent to 40 percent of the minimum wage per worker for businesses with a revenue fall above 20 percent (around 0.2 percent of GDP). 
• </t>
    </r>
    <r>
      <rPr>
        <sz val="10"/>
        <rFont val="Arial"/>
        <family val="2"/>
      </rPr>
      <t>Payroll subsidy worth 50% of June's bonuses for employees earning minimum wage for businesses with a revenue fall above 20 percent (0.1 percent of GDP). 
• Support for recently unemployed workers</t>
    </r>
    <r>
      <rPr>
        <sz val="10"/>
        <color rgb="FFFF0000"/>
        <rFont val="Arial"/>
        <family val="2"/>
      </rPr>
      <t>.</t>
    </r>
    <r>
      <rPr>
        <sz val="10"/>
        <color theme="1"/>
        <rFont val="Arial"/>
        <family val="2"/>
      </rPr>
      <t xml:space="preserve">
</t>
    </r>
    <r>
      <rPr>
        <b/>
        <sz val="10"/>
        <color theme="1"/>
        <rFont val="Arial"/>
        <family val="2"/>
      </rPr>
      <t xml:space="preserve"> 
Forgone revenue: </t>
    </r>
    <r>
      <rPr>
        <sz val="10"/>
        <color theme="1"/>
        <rFont val="Arial"/>
        <family val="2"/>
      </rPr>
      <t xml:space="preserve">
• No road tolls during the quarantine period.
• Tariff reduction for soy beans and corn, no VAT for medical supplies and internet connection.
• No interest costs on delayed payment of electricity and gas for most strata 1-4 households. Lowered interest rate on tax arrears.
• No VAT on new trucks until 2021.</t>
    </r>
  </si>
  <si>
    <r>
      <rPr>
        <b/>
        <sz val="10"/>
        <color theme="1"/>
        <rFont val="Arial"/>
        <family val="2"/>
      </rPr>
      <t>Additional spending (Rs150 bn):</t>
    </r>
    <r>
      <rPr>
        <sz val="10"/>
        <color theme="1"/>
        <rFont val="Arial"/>
        <family val="2"/>
      </rPr>
      <t xml:space="preserve">
• Additional spending on health infrastructure, including for COVID-19 testing facilities, personal protective equipment, isolation beds, ICU beds, and ventilators.</t>
    </r>
  </si>
  <si>
    <r>
      <rPr>
        <b/>
        <sz val="10"/>
        <color theme="1"/>
        <rFont val="Arial"/>
        <family val="2"/>
      </rPr>
      <t>Additional spending</t>
    </r>
    <r>
      <rPr>
        <sz val="10"/>
        <color theme="1"/>
        <rFont val="Arial"/>
        <family val="2"/>
      </rPr>
      <t xml:space="preserve">:
• RUB 140 bn – new infection hospitals, additional beds and re-equipment of existing beds, special ambulances and equipment.
• RUB 10 bn – bonus fund for medical staff, R&amp;D in diagnostics and prevention.
• RUB 50 bn – federal government top-ups to medical staff wages. 
</t>
    </r>
    <r>
      <rPr>
        <b/>
        <sz val="10"/>
        <color theme="1"/>
        <rFont val="Arial"/>
        <family val="2"/>
      </rPr>
      <t xml:space="preserve">
Forgone revenue</t>
    </r>
    <r>
      <rPr>
        <sz val="10"/>
        <color theme="1"/>
        <rFont val="Arial"/>
        <family val="2"/>
      </rPr>
      <t>:
• RUB 32 bn - zero import duties for pharmaceuticals, medical supplies and equipment.</t>
    </r>
  </si>
  <si>
    <r>
      <rPr>
        <b/>
        <sz val="10"/>
        <rFont val="Arial"/>
        <family val="2"/>
      </rPr>
      <t xml:space="preserve">Additional spending (RUB 1.4 tn):  
</t>
    </r>
    <r>
      <rPr>
        <sz val="10"/>
        <rFont val="Arial"/>
        <family val="2"/>
      </rPr>
      <t xml:space="preserve">• Sick leave benefits for the quarantined or self-isolating individuals and increases in unemployment and child benefits 
• Interest rate subsidies for systemically important and affected companies to finance minimum wages.
• Support for large companies (construction, car-makers, air transportation, light industry).
• Credit to affected sectors to protect employment with partial/full asset write-offs if employment is kept above 80%.
• Grants for SMEs in affected industries to cover salaries.
• Support to airlines (RUB 23 bn) and car-makers (RUB 25 bn) (state procurement and interest rate subsidies).
• Federal transfers to regions.
• Construction sector support, including subsidized rates for a new mortgage program (costed at RUB 6 bn).
</t>
    </r>
    <r>
      <rPr>
        <b/>
        <sz val="10"/>
        <rFont val="Arial"/>
        <family val="2"/>
      </rPr>
      <t xml:space="preserve">
Forgone revenue (RUB 250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t>
    </r>
  </si>
  <si>
    <r>
      <rPr>
        <b/>
        <sz val="10"/>
        <color theme="1"/>
        <rFont val="Arial"/>
        <family val="2"/>
      </rPr>
      <t>Deferred revenue</t>
    </r>
    <r>
      <rPr>
        <sz val="10"/>
        <color theme="1"/>
        <rFont val="Arial"/>
        <family val="2"/>
      </rPr>
      <t>:
• Tax deferrals for SMEs and most affected companies on most taxes (excluding VAT, PIT, MET, and social contributions).
• Deferrals on social contributions for SMEs in affected sectors for 6 months.
• For SMEs in the affected sectors: deferrals on rent payments to all levels of government until the end of the year.</t>
    </r>
  </si>
  <si>
    <t>• The CBR has introduced a new RUB 500 bn facility for SME lending and reduced the interest rate on the existing RUB 175 bn facility. As part of the new RUB 500 bn facility, CBR has introduced a RUB 150 bn credit line to finance 6-month zero-interest loans to SMEs and individual entrepreneurs to cover payroll.</t>
  </si>
  <si>
    <r>
      <rPr>
        <b/>
        <sz val="10"/>
        <color theme="1"/>
        <rFont val="Arial"/>
        <family val="2"/>
      </rPr>
      <t>Deferred revenue</t>
    </r>
    <r>
      <rPr>
        <sz val="10"/>
        <color theme="1"/>
        <rFont val="Arial"/>
        <family val="2"/>
      </rPr>
      <t xml:space="preserve">: 
• Coronavirus Aid, Relief, and Economic Security Act (March 27, 2020) includes extension of IRS income tax filing deadline by 90 days and delay of employers' payroll taxes to 2021 and 2022. </t>
    </r>
  </si>
  <si>
    <r>
      <t xml:space="preserve">• Lk11 bn Government has offered a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</si>
  <si>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r>
      <rPr>
        <b/>
        <sz val="10"/>
        <color theme="1"/>
        <rFont val="Arial"/>
        <family val="2"/>
      </rPr>
      <t xml:space="preserve">Deferred revenue: </t>
    </r>
    <r>
      <rPr>
        <sz val="10"/>
        <color theme="1"/>
        <rFont val="Arial"/>
        <family val="2"/>
      </rPr>
      <t xml:space="preserve">
• Postponement of tax reporting from Q2 to Q3. </t>
    </r>
  </si>
  <si>
    <r>
      <t xml:space="preserve">• Loans to the agriculture sector under the Survival and Recovery Aid Program. 
</t>
    </r>
    <r>
      <rPr>
        <sz val="10"/>
        <color theme="1"/>
        <rFont val="Symbol"/>
        <family val="1"/>
        <charset val="2"/>
      </rPr>
      <t>·</t>
    </r>
    <r>
      <rPr>
        <sz val="10"/>
        <color theme="1"/>
        <rFont val="Arial"/>
        <family val="2"/>
      </rPr>
      <t xml:space="preserve"> Equity injection to support loan programs for SMEs.</t>
    </r>
  </si>
  <si>
    <r>
      <rPr>
        <b/>
        <sz val="10"/>
        <color theme="1"/>
        <rFont val="Arial"/>
        <family val="2"/>
      </rPr>
      <t>Additional spending</t>
    </r>
    <r>
      <rPr>
        <sz val="10"/>
        <color theme="1"/>
        <rFont val="Arial"/>
        <family val="2"/>
      </rPr>
      <t xml:space="preserve">: 
</t>
    </r>
    <r>
      <rPr>
        <sz val="10"/>
        <color theme="1"/>
        <rFont val="Symbol"/>
        <family val="1"/>
        <charset val="2"/>
      </rPr>
      <t>·</t>
    </r>
    <r>
      <rPr>
        <sz val="10"/>
        <color theme="1"/>
        <rFont val="Arial"/>
        <family val="2"/>
      </rPr>
      <t xml:space="preserve">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t>
    </r>
    <r>
      <rPr>
        <b/>
        <sz val="10"/>
        <color theme="1"/>
        <rFont val="Arial"/>
        <family val="2"/>
      </rPr>
      <t xml:space="preserve">
Forgone revenue:
</t>
    </r>
    <r>
      <rPr>
        <b/>
        <sz val="10"/>
        <color theme="1"/>
        <rFont val="Symbol"/>
        <family val="1"/>
        <charset val="2"/>
      </rPr>
      <t xml:space="preserve">· </t>
    </r>
    <r>
      <rPr>
        <sz val="10"/>
        <color theme="1"/>
        <rFont val="Arial"/>
        <family val="2"/>
      </rPr>
      <t>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 Tax relief including for i) for personal income tax deduction for health insurance premium; ii) import duties for products preventing related to prevention or treatment of Covid-19 exempted until September 2020; iii) taxes are exempted and fees are cut for debt restructuring with non-financial creditors; iv) reduction in excise tax on jet fuel for domestic flights; and v) reduced withholding tax.</t>
    </r>
  </si>
  <si>
    <r>
      <rPr>
        <b/>
        <sz val="10"/>
        <color theme="1"/>
        <rFont val="Arial"/>
        <family val="2"/>
      </rPr>
      <t>Deferred revenue</t>
    </r>
    <r>
      <rPr>
        <sz val="10"/>
        <color theme="1"/>
        <rFont val="Arial"/>
        <family val="2"/>
      </rPr>
      <t>: Including personal income payment deadline extended to August, 2020; one month extension of deadline for payment of VAT, Special Business Tax, and other taxes under the Revenue Department; expedited VAT refund process for exporters, delay in collection of fees and charges levied by government agencies and SOEs.</t>
    </r>
  </si>
  <si>
    <t>• On-lending to local banks to support stakeholders of the cashew nut economy (CFAF 15.5 billion have already been lent).</t>
  </si>
  <si>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t>
  </si>
  <si>
    <r>
      <rPr>
        <b/>
        <sz val="10"/>
        <rFont val="Arial"/>
        <family val="2"/>
      </rPr>
      <t xml:space="preserve">Additional spending (€45.9 bn): </t>
    </r>
    <r>
      <rPr>
        <sz val="10"/>
        <rFont val="Arial"/>
        <family val="2"/>
      </rPr>
      <t xml:space="preserve">Subsidies for wages of workers under the reduced-hour scheme; direct financial support for affected microenterprises, liberal professions, and independent workers; extension of expiring unemployment and other benefits; additional transfers for self-employed; additional spending in social programs; subsidies to the automobile sector.
</t>
    </r>
    <r>
      <rPr>
        <b/>
        <sz val="10"/>
        <rFont val="Arial"/>
        <family val="2"/>
      </rPr>
      <t xml:space="preserve">Foregone revenue (€3.4 bn): </t>
    </r>
    <r>
      <rPr>
        <sz val="10"/>
        <rFont val="Arial"/>
        <family val="2"/>
      </rPr>
      <t xml:space="preserve">Exoneration of social security contributions for affected firms in tourism sectors; carry back for corporate income taxes. </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</si>
  <si>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Suspension of property and income taxes for the tourism sector until November 2020.
• Extension of customs clearance term for vehicles imported before April (until September).</t>
    </r>
  </si>
  <si>
    <r>
      <rPr>
        <b/>
        <sz val="10"/>
        <color theme="1"/>
        <rFont val="Arial"/>
        <family val="2"/>
      </rPr>
      <t>Additional spending</t>
    </r>
    <r>
      <rPr>
        <sz val="10"/>
        <color theme="1"/>
        <rFont val="Arial"/>
        <family val="2"/>
      </rPr>
      <t xml:space="preserve"> (PLN 142.2 bn or 6.3 percent of GDP): Wage subsidies for employees of affected businesses up to 40 percent of average wages; care allowance for children owing to school closures; monthly benefit for self-employed individuals; establishing a public infrastructure investment fund. Includes the nonreturnable portion of the Polish Development Fund's provision of liquidity loans and subsidies that is treated as above-the-line expenditure item. 
</t>
    </r>
    <r>
      <rPr>
        <b/>
        <sz val="10"/>
        <color theme="1"/>
        <rFont val="Arial"/>
        <family val="2"/>
      </rPr>
      <t xml:space="preserve">
Foregone revenue:</t>
    </r>
    <r>
      <rPr>
        <sz val="10"/>
        <color theme="1"/>
        <rFont val="Arial"/>
        <family val="2"/>
      </rPr>
      <t xml:space="preserve"> (PLN 15.2 bn or 0.7 percent of GDP)</t>
    </r>
    <r>
      <rPr>
        <b/>
        <sz val="10"/>
        <color theme="1"/>
        <rFont val="Arial"/>
        <family val="2"/>
      </rPr>
      <t xml:space="preserve"> </t>
    </r>
    <r>
      <rPr>
        <sz val="10"/>
        <color theme="1"/>
        <rFont val="Arial"/>
        <family val="2"/>
      </rPr>
      <t xml:space="preserve">For micro firms up to 9 employees social insurance contributions will be covered by the budget for 3 months. For companies employing from 10 to 49 employees 50 % of social insurance contributions will be paid by the budget. </t>
    </r>
  </si>
  <si>
    <t>country</t>
  </si>
  <si>
    <t>LIDCs</t>
  </si>
  <si>
    <t>AEs</t>
  </si>
  <si>
    <t>Additional spending and forgone revenue</t>
  </si>
  <si>
    <r>
      <rPr>
        <b/>
        <sz val="10"/>
        <rFont val="Arial"/>
        <family val="2"/>
      </rPr>
      <t>Additional spending</t>
    </r>
    <r>
      <rPr>
        <sz val="10"/>
        <rFont val="Arial"/>
        <family val="2"/>
      </rPr>
      <t xml:space="preserve">: 
</t>
    </r>
    <r>
      <rPr>
        <sz val="10"/>
        <rFont val="Symbol"/>
        <family val="1"/>
        <charset val="2"/>
      </rPr>
      <t>·</t>
    </r>
    <r>
      <rPr>
        <sz val="10"/>
        <rFont val="Arial"/>
        <family val="2"/>
      </rPr>
      <t xml:space="preserve"> Expansion of existing social transfer programs for vulnerable households, including allowance programs and food aid distribution; Cash assistance to the jobless poor affected by COVID-19 (Corona-Cash). 
</t>
    </r>
    <r>
      <rPr>
        <sz val="10"/>
        <rFont val="Symbol"/>
        <family val="1"/>
        <charset val="2"/>
      </rPr>
      <t xml:space="preserve">· </t>
    </r>
    <r>
      <rPr>
        <sz val="10"/>
        <rFont val="Arial"/>
        <family val="2"/>
      </rPr>
      <t xml:space="preserve">Wage support (50bn loan) for export-oriented industries; working capital loan interest subsidies (30bn) for COVID-19 affected large industries and the service sector, and Cottage, Micro, Small and Medium Enterprises (CMSMEs); interest waiver subsidies (20bn); and housing scheme support.
</t>
    </r>
    <r>
      <rPr>
        <sz val="10"/>
        <rFont val="Symbol"/>
        <family val="1"/>
        <charset val="2"/>
      </rPr>
      <t>·</t>
    </r>
    <r>
      <rPr>
        <sz val="10"/>
        <rFont val="Arial"/>
        <family val="2"/>
      </rPr>
      <t xml:space="preserve"> Subsidies to the agriculture sector (e.g. purchase of fertilizer and agriculture machinery, government procurement).</t>
    </r>
  </si>
  <si>
    <r>
      <rPr>
        <b/>
        <sz val="10"/>
        <color theme="1"/>
        <rFont val="Arial"/>
        <family val="2"/>
      </rPr>
      <t>Deferred revenue (CAD 85 bn)</t>
    </r>
    <r>
      <rPr>
        <sz val="10"/>
        <color theme="1"/>
        <rFont val="Arial"/>
        <family val="2"/>
      </rPr>
      <t>: Temporary interest-free tax deferrals for businesses and self employed, amounting to CAD 55 bn in deferred income taxes and CAD 30 bn in deferred GST/HST and customs duties for imports.</t>
    </r>
  </si>
  <si>
    <t xml:space="preserve">• Newly established Business Credit Availability Program (BCAP) and Canada Emergency Business Account (CEBA) will provide CAD 65 bn of additional support for businesses in the form of loan guarantees and shared financing arrangements through the Business Development Bank of Canada and Export Development Canada, including in sectors such as oil and gas, air transportation, exportation,  and tourism.
</t>
  </si>
  <si>
    <r>
      <rPr>
        <b/>
        <sz val="10"/>
        <color theme="1"/>
        <rFont val="Arial"/>
        <family val="2"/>
      </rPr>
      <t xml:space="preserve">Additional spending (€251 bn): </t>
    </r>
    <r>
      <rPr>
        <sz val="10"/>
        <color theme="1"/>
        <rFont val="Arial"/>
        <family val="2"/>
      </rPr>
      <t xml:space="preserve">including grants to hard hit small businesses and self-employed, increased access to childcare and basic social security benefits, temporary relief to affected tenants, more child support, and renewable electricity subsidy. There is also support to firms and households provided through the “Kurzabeit” program, part of which is considered discretionary because the program parameters have been changed.
</t>
    </r>
    <r>
      <rPr>
        <b/>
        <sz val="10"/>
        <color theme="1"/>
        <rFont val="Arial"/>
        <family val="2"/>
      </rPr>
      <t>Forgone revenue (€30 bn):</t>
    </r>
    <r>
      <rPr>
        <sz val="10"/>
        <color theme="1"/>
        <rFont val="Arial"/>
        <family val="2"/>
      </rPr>
      <t xml:space="preserve"> a temporary VAT cut and tax cuts for SMEs.</t>
    </r>
  </si>
  <si>
    <r>
      <rPr>
        <b/>
        <sz val="10"/>
        <color theme="1"/>
        <rFont val="Arial"/>
        <family val="2"/>
      </rPr>
      <t xml:space="preserve">Additional spending (€6 bn): </t>
    </r>
    <r>
      <rPr>
        <sz val="10"/>
        <color theme="1"/>
        <rFont val="Arial"/>
        <family val="2"/>
      </rPr>
      <t xml:space="preserve">including on medical equipment and staff.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</si>
  <si>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(€46.5 bn): </t>
    </r>
    <r>
      <rPr>
        <sz val="10"/>
        <rFont val="Arial"/>
        <family val="2"/>
      </rPr>
      <t xml:space="preserve">including income support to laid-off workers and the self-employed, and vouchers for the payment of babysitters by broadening the wage supplementation fund (€25 bn);  grants for SMEs to cover rents, utility bills (€15 bn); education (€1.5 bn).
</t>
    </r>
    <r>
      <rPr>
        <b/>
        <sz val="10"/>
        <rFont val="Arial"/>
        <family val="2"/>
      </rPr>
      <t>Forgone revenue (€2 bn)</t>
    </r>
    <r>
      <rPr>
        <sz val="10"/>
        <rFont val="Arial"/>
        <family val="2"/>
      </rPr>
      <t>: tax credits.</t>
    </r>
  </si>
  <si>
    <r>
      <rPr>
        <b/>
        <sz val="10"/>
        <rFont val="Arial"/>
        <family val="2"/>
      </rPr>
      <t>Deferred revenue:</t>
    </r>
    <r>
      <rPr>
        <sz val="10"/>
        <rFont val="Arial"/>
        <family val="2"/>
      </rPr>
      <t xml:space="preserve"> including postponement of VAT, CIT, and social security contributions for SMEs, as well as property taxes and utility bills in most affected municipalities. </t>
    </r>
  </si>
  <si>
    <t>• Guarantees on bonds/borrowing by the Development Bank of Japan and the Japan Finance Corporation (JPY 7.6 tn).
• Guarantees on external bonds issued by the Development Bank of Japan and Japan Bank for International Cooperation (JPY 1.1 tn).
• Guarantees on bonds/borrowings by other public financial institutions for their equity injection programs. (JPY2.5 tn). 
• Expanded the guarantee cap on the capital injection scheme into banks (JPY 3 tn).
• Expanded the insurance capacity of the Nippon Export and Investment Insurance (JPY1.5 tn).</t>
  </si>
  <si>
    <t>• Concessional loans and guarantees to affected firms through the public and private financial institutions. (JPY 92 tn).
• Public financial institutions' provision of subordinated loans (quasi-equity) and equities (JPY 2.7 tn).
• Public financial institutions' loans to affected hospitals and clinics (JPY 1.3 tn).
• Other quasi-fiscal operations using the Development Bank of Japan and other agencies (primarily for infrastructure projects in the post-containment phase) (JPY 13 tn).</t>
  </si>
  <si>
    <r>
      <rPr>
        <b/>
        <sz val="10"/>
        <rFont val="Arial"/>
        <family val="2"/>
      </rPr>
      <t xml:space="preserve">Additional spending (€26 bn):
</t>
    </r>
    <r>
      <rPr>
        <sz val="10"/>
        <rFont val="Arial"/>
        <family val="2"/>
      </rPr>
      <t xml:space="preserve">• Unemployment benefit for workers registered under the Temporary Employment Adjustment Schemes (ERTE), with no requirement for prior minimum contribution or reduction of accumulated entitlement (€17.8 bn); 
• An allowance for affected self-employed (€3.8 bn);
• Increased sick pay for infected or quarantined workers (€1.4 bn); 
• Introduction of a new means-tested "minimum vital income";
• A temporary subsidy for affected household employees and allowance for temporary workers with contracts expiring during the state of emergency but no entitlement to collect unemployment benefits; and additional provision of assistance to dependents; 
• Transfer to autonomous communities funding meals for children affected by the school closure; new rental assistance programs for certain vulnerable renters; and extension of the social benefit for energy provision.
</t>
    </r>
    <r>
      <rPr>
        <b/>
        <sz val="10"/>
        <rFont val="Arial"/>
        <family val="2"/>
      </rPr>
      <t xml:space="preserve">
Forgone revenue (€6 bn): 
</t>
    </r>
    <r>
      <rPr>
        <sz val="10"/>
        <rFont val="Arial"/>
        <family val="2"/>
      </rPr>
      <t>• Exemptions of social contributions for affected companies that maintain employment under the ERTE and affected self-employed (€3.2 bn);
• Flexibility in filing income tax and VAT installment payment for SMEs and self-employed (€1.1 bn);
• Temporary waiver of VAT on purchases of certain medical material (€1 billion);
• 6-month suspension of social security contributions and deferral of social security debts for the self-employed and companies in selected industries (€0.7bn);
• 50 percent exemption from employer’s social security contributions for workers with permanent discontinuous contracts in the tourism sector and related activities.</t>
    </r>
  </si>
  <si>
    <r>
      <rPr>
        <b/>
        <sz val="10"/>
        <color theme="1"/>
        <rFont val="Arial"/>
        <family val="2"/>
      </rPr>
      <t xml:space="preserve">Additional spending:
</t>
    </r>
    <r>
      <rPr>
        <sz val="10"/>
        <color theme="1"/>
        <rFont val="Arial"/>
        <family val="2"/>
      </rPr>
      <t xml:space="preserve">• Coronavirus Job Retention Scheme to subsidize furloughed employees' wages and firms' social security contributions (initially for 3 months but extended until October); 
• Income support for the self-employed (initially for 3 months and extended for another 3 months);
• Paid sick leave for self-isolating individuals and compensation for small firms for up to 2 weeks; 
• Direct grants for small firms in the most-affected (retail and hospitality) sectors; 
• Support for the vulnerable by expanding the Universal Credit and Working Tax Credit schemes; 
• Rent support by increasing the Local Housing Allowance; 
• International support, with £150 million made available to the IMF’s Catastrophe Containment and Relief Trust;
• Government support for charities. 
</t>
    </r>
    <r>
      <rPr>
        <b/>
        <sz val="10"/>
        <color theme="1"/>
        <rFont val="Arial"/>
        <family val="2"/>
      </rPr>
      <t xml:space="preserve">
Forgone revenue:</t>
    </r>
    <r>
      <rPr>
        <sz val="10"/>
        <color theme="1"/>
        <rFont val="Arial"/>
        <family val="2"/>
      </rPr>
      <t xml:space="preserve"> property tax (business rate) holiday for firms in affected sectors for 12 months.</t>
    </r>
  </si>
  <si>
    <r>
      <rPr>
        <b/>
        <sz val="10"/>
        <color theme="1"/>
        <rFont val="Arial"/>
        <family val="2"/>
      </rPr>
      <t>Additional spending ($304 bn)</t>
    </r>
    <r>
      <rPr>
        <sz val="10"/>
        <color theme="1"/>
        <rFont val="Arial"/>
        <family val="2"/>
      </rPr>
      <t xml:space="preserve">
•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$59 bn. 
• Coronavirus Aid, Relief, and Economic Security Act (March 27, 2020) approved $138 bn for additional health spending, which includes funding for hospitals ($100 bn), the Center of Disease Control ($4.3 bn), and vaccine development ($27 bn); expansion of Medicare payments and provision of tax advantages for certain medical expense.
• Paycheck Protection Program and Health Care Enhancement Act (April 23, 2020) includes $75 bn for hospitals and $25 bn for testing.</t>
    </r>
  </si>
  <si>
    <r>
      <rPr>
        <b/>
        <sz val="10"/>
        <rFont val="Arial"/>
        <family val="2"/>
      </rPr>
      <t>Additional spending (AR $710 bn)</t>
    </r>
    <r>
      <rPr>
        <sz val="10"/>
        <rFont val="Arial"/>
        <family val="2"/>
      </rPr>
      <t>:</t>
    </r>
    <r>
      <rPr>
        <b/>
        <sz val="10"/>
        <rFont val="Arial"/>
        <family val="2"/>
      </rPr>
      <t xml:space="preserve">
</t>
    </r>
    <r>
      <rPr>
        <sz val="10"/>
        <rFont val="Arial"/>
        <family val="2"/>
      </rPr>
      <t xml:space="preserve">• One-off additional allowances for pensioners, beneficiaries of child, pregnancy, and other social allowances, as well as food stamps. 
• Emergency family allowance for monotributistas, informal workers, and unemployed.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t>
    </r>
    <r>
      <rPr>
        <b/>
        <sz val="10"/>
        <rFont val="Arial"/>
        <family val="2"/>
      </rPr>
      <t>Forgone revenue (AR $75 bn)</t>
    </r>
    <r>
      <rPr>
        <sz val="10"/>
        <rFont val="Arial"/>
        <family val="2"/>
      </rPr>
      <t>:
• Most affected sectors granted 95% reduction in employers’ contributions to the pension system.
• VAT refund for milk sales.</t>
    </r>
  </si>
  <si>
    <r>
      <rPr>
        <b/>
        <sz val="10"/>
        <rFont val="Arial"/>
        <family val="2"/>
      </rPr>
      <t xml:space="preserve">Accelerated spending:
</t>
    </r>
    <r>
      <rPr>
        <sz val="10"/>
        <rFont val="Arial"/>
        <family val="2"/>
      </rPr>
      <t xml:space="preserve">• Advance tax reimbursements to exporters of manufactured products.
</t>
    </r>
    <r>
      <rPr>
        <b/>
        <sz val="10"/>
        <rFont val="Arial"/>
        <family val="2"/>
      </rPr>
      <t xml:space="preserve">
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</si>
  <si>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Road tolls and some service fees charged by airports and railways were exempted or reduced; the price of electricity was cut by 5 percent. The authorities estimate the cost of the toll exemption was about RMB 140 bn.
• Railway logistic fee lowered by 50% until Jun 30 with an estimated cost of RMB 350 mn.
• From Mar 1 to Dec 31, the port construction fee will be exempted and some fees are cut. 
• Allow China’s state-funded infrastructure projects to use up to 15 percent of investment for a project to pay wages.
• The central government transfer payment rate to provinces was increased from 3% to 4% for pensions.</t>
  </si>
  <si>
    <t>• The national guarantee fund will work with banks providing loan guarantee services, planning to increase re-guarantee business by RMB 400 bn in 2020. Local government-backed guarantee/re-guarantee agencies are required to lower guarantee service costs to below 1 percent for SMEs.</t>
  </si>
  <si>
    <r>
      <rPr>
        <b/>
        <sz val="10"/>
        <rFont val="Arial"/>
        <family val="2"/>
      </rPr>
      <t xml:space="preserve">Additional spending (Rs 2.3 tn):
</t>
    </r>
    <r>
      <rPr>
        <sz val="10"/>
        <rFont val="Arial"/>
        <family val="2"/>
      </rPr>
      <t>• On March 26, the central government announced a package that provides insurance coverage for healthcare workers, substantial cash and in-kind (food, cooking gas) transfers, as well as wage and unemployment support to poor households (Rs 1.7 tn).
• Between May 13 and 17, additions to this initial package were announced. These focused on extending the government's existing rural employment guarantee scheme (additional Rs 400 bn), extension of food support to migrants (Rs 35 bn) and miscellaneous other measures (about Rs 157.5 bn).</t>
    </r>
  </si>
  <si>
    <r>
      <rPr>
        <b/>
        <sz val="10"/>
        <rFont val="Arial"/>
        <family val="2"/>
      </rPr>
      <t>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</si>
  <si>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t>
  </si>
  <si>
    <r>
      <rPr>
        <b/>
        <sz val="10"/>
        <color theme="1"/>
        <rFont val="Arial"/>
        <family val="2"/>
      </rPr>
      <t>Additional spending (IDR 76 tn):</t>
    </r>
    <r>
      <rPr>
        <sz val="10"/>
        <color theme="1"/>
        <rFont val="Arial"/>
        <family val="2"/>
      </rPr>
      <t xml:space="preserve">
• IDR 1 tn initially allocated to cover various outlays, including personal protective equipment, enhanced surveillance at entry gates to Indonesia, hospital treatment, and hospital infrastructure. 
• On March 31, 2020, the government announced a third larger fiscal package, including IDR 75 tn to boost testing and treatment capability, including the acquisition of personal protective equipment, test kits, ventilators, and the upgrade of 132 referral hospitals to handle COVID-19 patients.</t>
    </r>
  </si>
  <si>
    <r>
      <rPr>
        <b/>
        <sz val="10"/>
        <color theme="1"/>
        <rFont val="Arial"/>
        <family val="2"/>
      </rPr>
      <t>Additional spending (IDR 222.3 tn):</t>
    </r>
    <r>
      <rPr>
        <sz val="10"/>
        <color theme="1"/>
        <rFont val="Arial"/>
        <family val="2"/>
      </rPr>
      <t xml:space="preserve">
• The first fiscal package of IDR 10.3 tn includes support to the tourism sector (discounts on airplane tickets and jet-fuel) and to low-income households (social assistance and subsidy for home buyers). 
• The third fiscal package includes IDR 110 tn additional social assistance spending (later expanded to IDR 172 tn):   increasing benefits and coverage of existing social safety nets such as food aid and unemployment benefits, and electricity subsidies. 
• A fourth stimulus package is announced on May 19 as part of a national economic recovery program.</t>
    </r>
    <r>
      <rPr>
        <b/>
        <sz val="10"/>
        <color theme="1"/>
        <rFont val="Arial"/>
        <family val="2"/>
      </rPr>
      <t xml:space="preserve">
Forgone revenue (IDR 96.3 tn): 
</t>
    </r>
    <r>
      <rPr>
        <sz val="10"/>
        <color theme="1"/>
        <rFont val="Arial"/>
        <family val="2"/>
      </rPr>
      <t>• The first fiscal package includes tax cuts for the tourism sector.
• The second fiscal package of IDR 33.2 tn includes income tax exemptions to workers in the industrial sectors (with an income ceiling).
• The third fiscal package includes various tax reliefs and incentives: exemption and reduction of income taxes (with an income ceiling) and a reduction of the corporate income tax from 25 percent to 22 percent.</t>
    </r>
  </si>
  <si>
    <r>
      <rPr>
        <b/>
        <sz val="10"/>
        <color theme="1"/>
        <rFont val="Arial"/>
        <family val="2"/>
      </rPr>
      <t xml:space="preserve">Additional spending (SAR 9.9 bn): 
</t>
    </r>
    <r>
      <rPr>
        <sz val="10"/>
        <color theme="1"/>
        <rFont val="Arial"/>
        <family val="2"/>
      </rPr>
      <t xml:space="preserve">• Wage benefits to employers who keep their workers to be provided through the unemployment insurance scheme, SANED (SAR 9 bn). 
• Ministry of Energy announced temporary electricity subsidies to commercial, industrial, and agricultural sectors (SAR 0.9 bn)
</t>
    </r>
  </si>
  <si>
    <r>
      <rPr>
        <b/>
        <sz val="10"/>
        <color theme="1"/>
        <rFont val="Arial"/>
        <family val="2"/>
      </rPr>
      <t xml:space="preserve">Additional spending: </t>
    </r>
    <r>
      <rPr>
        <sz val="10"/>
        <color theme="1"/>
        <rFont val="Arial"/>
        <family val="2"/>
      </rPr>
      <t>for medical equipment and staff for health facilities, and policing the lockdown.</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</si>
  <si>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 Increase transfers to households: grants and food distribution and public work program expansions. 
• Increase child support and all other grants from May till Oct.
• Distribute food parcels and provide transfer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t>
    </r>
    <r>
      <rPr>
        <sz val="10"/>
        <rFont val="Arial"/>
        <family val="2"/>
      </rPr>
      <t>• Tax subsidy of up to R 550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</si>
  <si>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 Three-month deferral for filing and payment date of carbon tax.</t>
    </r>
  </si>
  <si>
    <t>The Treasury will guarantee up to R 200 bn in loans where also the banks are taking part of the risk to help businesses below a certain turnover threshold pay operating expenses including salaries, suppliers etc.</t>
  </si>
  <si>
    <t>• Turkey Wealth Fund (TWF) has been granted new rights to take equity in firms affected by Covid-19, and was assigned to inject a core capital of 0.4 percent of GDP into three state banks, funded by issuance of Treasury bonds.</t>
  </si>
  <si>
    <r>
      <rPr>
        <b/>
        <sz val="10"/>
        <color theme="1"/>
        <rFont val="Arial"/>
        <family val="2"/>
      </rPr>
      <t xml:space="preserve">Additional spending (SAR 47 bn): </t>
    </r>
    <r>
      <rPr>
        <sz val="10"/>
        <color theme="1"/>
        <rFont val="Arial"/>
        <family val="2"/>
      </rPr>
      <t>Budget reallocation within the Ministry of Health budget [and other budget items] for emergency spending to fight COVID-19.</t>
    </r>
  </si>
  <si>
    <r>
      <t xml:space="preserve">Additional spending (NZ $55.7 bn): </t>
    </r>
    <r>
      <rPr>
        <sz val="10"/>
        <rFont val="Arial"/>
        <family val="2"/>
      </rPr>
      <t xml:space="preserve">including lump sum 12-week wage subsidies available for all employers significantly affected by COVID-19 (NZ $14.9 bn); financial support for workers not paid normally during self-isolation (NZ $126 mn); temporary increase in winter energy payment (NZ $480 mn); permanent increase in benefits (NZ$2.4 bn in the next four years); and support package for the aviation sector (NZ$ 600 mn). A large part of additional spending is still unallocated.
</t>
    </r>
    <r>
      <rPr>
        <b/>
        <sz val="10"/>
        <rFont val="Arial"/>
        <family val="2"/>
      </rPr>
      <t>Forgone revenue (NZ $5.9 bn)</t>
    </r>
    <r>
      <rPr>
        <sz val="10"/>
        <rFont val="Arial"/>
        <family val="2"/>
      </rPr>
      <t>: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</si>
  <si>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r>
      <rPr>
        <b/>
        <sz val="10"/>
        <rFont val="Arial"/>
        <family val="2"/>
      </rPr>
      <t xml:space="preserve">Additional spending: 
</t>
    </r>
    <r>
      <rPr>
        <sz val="10"/>
        <rFont val="Arial"/>
        <family val="2"/>
      </rPr>
      <t xml:space="preserve">• Federal government eased access to temporary unemployment for firms affected by Covid-19, raised the benefit replacement rate, and introduced a daily premium, as well as eased access to replacement income for self-employed. Temporary measures have been extended until end-August or end-December 2020, including covid-related parental leave, and additional measures taken to support hard-hit sectors and vulnerable groups. 
• Regional governments provided lump-sum compensation for companies and self-employed affected by closures or significantly reduced turnover; further support to specific, affected sectors in addition to the health care sector; support for utility bills for affected households; and a host of smaller support measures.
</t>
    </r>
    <r>
      <rPr>
        <b/>
        <sz val="10"/>
        <rFont val="Arial"/>
        <family val="2"/>
      </rPr>
      <t xml:space="preserve">
Forgone revenue</t>
    </r>
    <r>
      <rPr>
        <sz val="10"/>
        <rFont val="Arial"/>
        <family val="2"/>
      </rPr>
      <t>:  
• Suspension of penalties for delays or non-performance of suppliers to the public sector.
• Loss carry backward for CIT and PIT, tax exemption for regional support measures (for firms affected by closures and reduced turnover), and temporary reduction in VAT in the hospitality sector (e.g., food and non-alcoholic beverages). Suspension of penalties for delays or non-performance of suppliers to the public sector.</t>
    </r>
  </si>
  <si>
    <r>
      <rPr>
        <b/>
        <sz val="10"/>
        <color theme="1"/>
        <rFont val="Arial"/>
        <family val="2"/>
      </rPr>
      <t xml:space="preserve">Accelerated spending (€1 bn): 
•  </t>
    </r>
    <r>
      <rPr>
        <sz val="10"/>
        <color theme="1"/>
        <rFont val="Arial"/>
        <family val="2"/>
      </rPr>
      <t>Advance payments to hospitals.</t>
    </r>
    <r>
      <rPr>
        <b/>
        <sz val="10"/>
        <color theme="1"/>
        <rFont val="Arial"/>
        <family val="2"/>
      </rPr>
      <t xml:space="preserve">
Deferred revenue (€10 bn): </t>
    </r>
    <r>
      <rPr>
        <sz val="10"/>
        <color theme="1"/>
        <rFont val="Arial"/>
        <family val="2"/>
      </rPr>
      <t xml:space="preserve">
• Deferred payment of tax and social security contributions for affected firms, self-employed, and households, without application of interest charges and penalties, estimated at about 10 bn euros.</t>
    </r>
  </si>
  <si>
    <r>
      <rPr>
        <b/>
        <sz val="10"/>
        <color theme="1"/>
        <rFont val="Arial"/>
        <family val="2"/>
      </rPr>
      <t>Additional spending:</t>
    </r>
    <r>
      <rPr>
        <sz val="10"/>
        <color theme="1"/>
        <rFont val="Arial"/>
        <family val="2"/>
      </rPr>
      <t xml:space="preserve">
• Compensation of up to 90 percent of labor costs for companies expecting a reduction in revenues of 20 percent or more; compensation for affected sectors (for example, hospitality services and travel). 
• Income support for entrepreneurs and self-employed (administered at municipal and regional level) for a period of three months through expedited procedures.
• Support for start-ups and small innovation companies through loans provided by government regional agencies. 
• Scaling up of the short-time working scheme (unemployment benefit compensation available to companies needing to reduce their staff by at least 20 percent). I92
</t>
    </r>
    <r>
      <rPr>
        <b/>
        <sz val="10"/>
        <color theme="1"/>
        <rFont val="Arial"/>
        <family val="2"/>
      </rPr>
      <t xml:space="preserve">
Forgone revenue</t>
    </r>
    <r>
      <rPr>
        <sz val="10"/>
        <color theme="1"/>
        <rFont val="Arial"/>
        <family val="2"/>
      </rPr>
      <t>:
• Reduction of tourist taxes and taxes in the culture sector.</t>
    </r>
  </si>
  <si>
    <t>• A new and temporary EU unemployment reinsurance fund (SURE) will provide up to €100 billion in loans on favorable terms to governments, in support of national unemployment and short-time work schemes. Loans will be guaranteed by the EU budget and EU Member States.
• The ESM will provide Pandemic Crisis Support to its members to finance crisis-related health spending of up to 2 percent of a requesting member’s 2019 GDP. Should all 19 countries draw from the credit line, this would amount to around €240 billion.</t>
  </si>
  <si>
    <t>Country /1</t>
  </si>
  <si>
    <t>Unit</t>
  </si>
  <si>
    <t>Government Level</t>
  </si>
  <si>
    <t>AE</t>
  </si>
  <si>
    <t>Country Group</t>
  </si>
  <si>
    <t>G20 + Spain</t>
  </si>
  <si>
    <t>EM</t>
  </si>
  <si>
    <t>LIDC</t>
  </si>
  <si>
    <r>
      <rPr>
        <b/>
        <sz val="10"/>
        <color theme="1"/>
        <rFont val="Arial"/>
        <family val="2"/>
      </rPr>
      <t xml:space="preserve">Additional spending: </t>
    </r>
    <r>
      <rPr>
        <sz val="10"/>
        <color theme="1"/>
        <rFont val="Arial"/>
        <family val="2"/>
      </rPr>
      <t xml:space="preserve">
• Provide support to households, including a cash payout to all Singaporeans, and additional payments for lower-income individuals and the unemployed. 
• Provide support to businesses and workers, including wage subsidies, support to cover rental costs, an enhancement of financing schemes, and additional support for industries directly affected and the self-employed.
• Other measures: e.g. Economic resilience package.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and faster write-downs for qualifying investments. </t>
    </r>
  </si>
  <si>
    <r>
      <rPr>
        <b/>
        <sz val="10"/>
        <color theme="1"/>
        <rFont val="Arial"/>
        <family val="2"/>
      </rPr>
      <t>Additional spending</t>
    </r>
    <r>
      <rPr>
        <sz val="10"/>
        <color theme="1"/>
        <rFont val="Arial"/>
        <family val="2"/>
      </rPr>
      <t>: The authorities have increased public health spending and are trying to ensure sufficient supply of medical equipment and materials.</t>
    </r>
  </si>
  <si>
    <r>
      <rPr>
        <b/>
        <sz val="10"/>
        <rFont val="Arial"/>
        <family val="2"/>
      </rPr>
      <t>Accelerated spending:</t>
    </r>
    <r>
      <rPr>
        <sz val="10"/>
        <rFont val="Arial"/>
        <family val="2"/>
      </rPr>
      <t xml:space="preserve">
• Frontloaded social pension payments for the elderly and disabled people by 4 months (MXN 46.4 bn).
• Procurement processes and VAT refunds are to be accelerated.</t>
    </r>
  </si>
  <si>
    <t>• Institute for Social Security and Services (ISSSTE) loans to state workers with low interest rates (MXN 35 bn).
• Personal loans granted by the Institute of the National Fund for the Consumption of Workers (Fonacot) (MXN 3 bn).</t>
  </si>
  <si>
    <r>
      <rPr>
        <b/>
        <sz val="10"/>
        <rFont val="Arial"/>
        <family val="2"/>
      </rPr>
      <t>Additional spending</t>
    </r>
    <r>
      <rPr>
        <sz val="10"/>
        <rFont val="Arial"/>
        <family val="2"/>
      </rPr>
      <t>:
• Loans with optional repayment to be granted by the Ministry of Economy to 1 million SMEs that maintain employees on payroll, self-employed, and domestic workers. Eligibility is assessed using IMSS database (MXN 25 bn).
• Loans with optional repayment to be granted by the Ministry of Economy to 1 million family businesses, previously registered in the Welfare Census (MXN 25 bn).
• Expansion of Welfare Programs (MXN 50 bn) for infrastructure (MXN 33 bn), security (MXN 7.2 bn), education (MXN 5.8 bn), and other (MXN 4 bn)
• Unemployment subsidy for 3 months to workers that hold a mortgage with the Housing Institute (MXN 7.3 bn)</t>
    </r>
  </si>
  <si>
    <r>
      <rPr>
        <b/>
        <sz val="10"/>
        <rFont val="Arial"/>
        <family val="2"/>
      </rPr>
      <t>Credits loans SME (MXN 25 bn)</t>
    </r>
    <r>
      <rPr>
        <b/>
        <u/>
        <sz val="10"/>
        <rFont val="Arial"/>
        <family val="2"/>
      </rPr>
      <t xml:space="preserve">
</t>
    </r>
    <r>
      <rPr>
        <sz val="10"/>
        <rFont val="Arial"/>
        <family val="2"/>
      </rPr>
      <t xml:space="preserve">1. CRÉDITO SOLIDARIO A LA PALABRA
1.1 Crédito solidario a la palabra para empresarios solidarios </t>
    </r>
    <r>
      <rPr>
        <u/>
        <sz val="10"/>
        <rFont val="Arial"/>
        <family val="2"/>
      </rPr>
      <t xml:space="preserve">http://www.imss.gob.mx/prensa/archivo/202005/280 </t>
    </r>
    <r>
      <rPr>
        <sz val="10"/>
        <rFont val="Arial"/>
        <family val="2"/>
      </rPr>
      <t xml:space="preserve">
1.2 Crédito solidario a la palabra para trabajadoras del hogar-  </t>
    </r>
    <r>
      <rPr>
        <u/>
        <sz val="10"/>
        <rFont val="Arial"/>
        <family val="2"/>
      </rPr>
      <t xml:space="preserve">http://www.imss.gob.mx/prensa/archivo/202005/289 </t>
    </r>
    <r>
      <rPr>
        <sz val="10"/>
        <rFont val="Arial"/>
        <family val="2"/>
      </rPr>
      <t xml:space="preserve">
1.3 Crédito solidario a la palabra para trabajadores independiente </t>
    </r>
    <r>
      <rPr>
        <u/>
        <sz val="10"/>
        <rFont val="Arial"/>
        <family val="2"/>
      </rPr>
      <t xml:space="preserve">http://www.imss.gob.mx/prensa/archivo/202005/289 </t>
    </r>
    <r>
      <rPr>
        <sz val="10"/>
        <rFont val="Arial"/>
        <family val="2"/>
      </rPr>
      <t xml:space="preserve">
</t>
    </r>
    <r>
      <rPr>
        <b/>
        <sz val="10"/>
        <rFont val="Arial"/>
        <family val="2"/>
      </rPr>
      <t xml:space="preserve">Credits loans to family business of Welfare Census (MXN 25 bn) </t>
    </r>
    <r>
      <rPr>
        <u/>
        <sz val="10"/>
        <rFont val="Arial"/>
        <family val="2"/>
      </rPr>
      <t xml:space="preserve">https://www.gob.mx/se/articulos/ante-la-pandemia-del-coronavirus-fortalece-gobierno-federal-apoyo-a-pequenos-negocios?idiom=es </t>
    </r>
    <r>
      <rPr>
        <sz val="10"/>
        <rFont val="Arial"/>
        <family val="2"/>
      </rPr>
      <t xml:space="preserve">
</t>
    </r>
    <r>
      <rPr>
        <u/>
        <sz val="10"/>
        <rFont val="Arial"/>
        <family val="2"/>
      </rPr>
      <t xml:space="preserve">
</t>
    </r>
    <r>
      <rPr>
        <b/>
        <sz val="10"/>
        <rFont val="Arial"/>
        <family val="2"/>
      </rPr>
      <t xml:space="preserve">Loans ISSSTE (MXN 35 bn) </t>
    </r>
    <r>
      <rPr>
        <u/>
        <sz val="10"/>
        <rFont val="Arial"/>
        <family val="2"/>
      </rPr>
      <t xml:space="preserve">https://www.gob.mx/issste/prensa/redisena-el-issste-programa-de-prestamos-personales-2020-para-ayudar-a-reactivar-la-economia-en-el-pais?idiom=es
</t>
    </r>
    <r>
      <rPr>
        <b/>
        <sz val="10"/>
        <rFont val="Arial"/>
        <family val="2"/>
      </rPr>
      <t xml:space="preserve">VAT refunds accelerated </t>
    </r>
    <r>
      <rPr>
        <u/>
        <sz val="10"/>
        <rFont val="Arial"/>
        <family val="2"/>
      </rPr>
      <t xml:space="preserve">https://www.gob.mx/sat/prensa/las-devoluciones-de-impuestos-se-realizan-en-tiempo-y-forma-de-acuerdo-con-la-normatividad-aplicable-17-2020?idiom=es
</t>
    </r>
    <r>
      <rPr>
        <b/>
        <sz val="10"/>
        <rFont val="Arial"/>
        <family val="2"/>
      </rPr>
      <t>Frontload pensions (MXN 46.4 bn)</t>
    </r>
    <r>
      <rPr>
        <u/>
        <sz val="10"/>
        <rFont val="Arial"/>
        <family val="2"/>
      </rPr>
      <t xml:space="preserve"> https://www.gob.mx/bienestar/prensa/en-apoyo-a-la-economia-popular-se-adelanta-pago-de-pensiones-de-adultos-mayores-y-personas-con-discapacidad?idiom=es 
</t>
    </r>
    <r>
      <rPr>
        <b/>
        <sz val="10"/>
        <rFont val="Arial"/>
        <family val="2"/>
      </rPr>
      <t>Payment extensions, unemployment insurance to workers that hold a mortgage with the Housing Institute (MXN 20 bn)</t>
    </r>
    <r>
      <rPr>
        <b/>
        <u/>
        <sz val="10"/>
        <rFont val="Arial"/>
        <family val="2"/>
      </rPr>
      <t xml:space="preserve">
</t>
    </r>
    <r>
      <rPr>
        <u/>
        <sz val="10"/>
        <rFont val="Arial"/>
        <family val="2"/>
      </rPr>
      <t xml:space="preserve">http://www5.diputados.gob.mx/index.php/esl/Comunicacion/Boletines/2020/Marzo/18/3510-La-Comision-de-Vivienda-se-reunio-con-el-titular-del-Infonavit
https://portalmx.infonavit.org.mx/wps/portal/infonavit.web/el-instituto/el-infonavit/sala-de-prensa/!ut/p/z1/jZFNa4NAEIZ_Sw8e67xrqmx6syVd80FQwhI7l6LBbATjBmMr_fdN014CiWZuMzwPvLxDTClxnX2VJmtLW2fVaX_n4CNQQPT6JJZyMfeRIJ4rzCBWY9D6DHgSUC8QSyUjifBtMp2MFyNPaUF84QexhyRKBOKV9KD9fx83JsR9fg_A9-TvAbg_3pr4jNxqwMcAIIaA3w6HUsyITWXzv4eFdT6ShrgptkVTNO5nczrv2vZwfHbgoOs611hrqsLd2L2Da8rOHltKL0k67LXWKcrpI-ffXfjwA2ChJss!/dz/d5/L2dBISEvZ0FBIS9nQSEh/?numeroBoletin=024&amp;mes=abril&amp;anio=2020
</t>
    </r>
    <r>
      <rPr>
        <b/>
        <sz val="10"/>
        <rFont val="Arial"/>
        <family val="2"/>
      </rPr>
      <t>Fonacot Loans (MXN 3 bn)</t>
    </r>
    <r>
      <rPr>
        <sz val="10"/>
        <rFont val="Arial"/>
        <family val="2"/>
      </rPr>
      <t xml:space="preserve"> </t>
    </r>
    <r>
      <rPr>
        <u/>
        <sz val="10"/>
        <rFont val="Arial"/>
        <family val="2"/>
      </rPr>
      <t>https://www.fonacot.gob.mx/SaladePrensa/Paginas/comunicados.aspx?idc=396</t>
    </r>
  </si>
  <si>
    <t>G20: Emerging markets</t>
  </si>
  <si>
    <t>Other Selected Emerging Markets</t>
  </si>
  <si>
    <t>Selected Low-Income Developing Countries</t>
  </si>
  <si>
    <r>
      <rPr>
        <b/>
        <sz val="10"/>
        <rFont val="Arial"/>
        <family val="2"/>
      </rPr>
      <t>Additional spending</t>
    </r>
    <r>
      <rPr>
        <sz val="10"/>
        <rFont val="Arial"/>
        <family val="2"/>
      </rPr>
      <t xml:space="preserve">: Accelerated pay to government's suppliers, cash transfers for the most vulnerable, enhanced unemployment insurance, loan guarantees.
</t>
    </r>
    <r>
      <rPr>
        <b/>
        <sz val="10"/>
        <rFont val="Arial"/>
        <family val="2"/>
      </rPr>
      <t>Forgone revenue</t>
    </r>
    <r>
      <rPr>
        <sz val="10"/>
        <rFont val="Arial"/>
        <family val="2"/>
      </rPr>
      <t xml:space="preserve">: Suspension of monthly provisional payments of corporate income tax for the next 3 months (allow liquidity of up to US $ 2.4 bn); reduction of the Stamp and Seals tax. </t>
    </r>
  </si>
  <si>
    <t xml:space="preserve">1/ The country list includes European Union as well, but the total global fiscal support does not include measures announced by the European Union because those are financing the measures by member states, which have been included individually. </t>
  </si>
  <si>
    <t>Fiscal Monitor: Database of Country Fiscal Measures in Response to the COVID-19 Pandemic</t>
  </si>
  <si>
    <t>• Loans for the industrial sector to promote digital transformation and modernization.</t>
  </si>
  <si>
    <t>• Up to €100 bn government guarantees for firms and self-employed, covering both loans and commercial paper of medium-sized companies that participate in Spain’s Alternative Fixed Income Market (MARF)
• Additional guarantees of up to €2 bn for exporters through the Spanish Export Insurance Credit Company 
• Introduction of a special credit line for the tourism sector through the ICO (€400 mn)  
• Guarantees for loan maturity extensions to farmers using the special 2017 drought credit lines 
• A line of guarantees to provide financial assistance on housing expenses for vulnerable households (€1.2 bn) 
• Additional loan guarantees for SMEs and self-employed through the Compañía Española de Reafianzamiento (€1 bn) 
• An ICO line of guarantees for the automotive sector (€500 mn).</t>
  </si>
  <si>
    <r>
      <rPr>
        <b/>
        <sz val="10"/>
        <rFont val="Arial"/>
        <family val="2"/>
      </rPr>
      <t>Additional spending (AR $33 bn):</t>
    </r>
    <r>
      <rPr>
        <sz val="10"/>
        <rFont val="Arial"/>
        <family val="2"/>
      </rPr>
      <t xml:space="preserve">
• Budget increase for Health Ministry to improve virus diagnostics, purchase hospital equipment, and build temporary emergency treatment centers.
• Budget transfers to specific hospitals.
• Four monthly bonuses of AR $5K for healthcare workers (AR $12 bn).
• Other (non-costed) support for the health sector includes infrastructure spending and discretionary transfers related to healthcare to provinces. 
</t>
    </r>
    <r>
      <rPr>
        <b/>
        <sz val="10"/>
        <rFont val="Arial"/>
        <family val="2"/>
      </rPr>
      <t xml:space="preserve">Forgone revenue (AR $5.5 bn):
</t>
    </r>
    <r>
      <rPr>
        <sz val="10"/>
        <rFont val="Arial"/>
        <family val="2"/>
      </rPr>
      <t>• Exemption from import duties and statistical tax for medical supplies (April-August).
• Tax aliquots on credits and debits in bank accounts and other operations of 2.5 and 5 percent for health service operations.
• 95 percent reduction in the aliquot of employer social security contributions for a period of 90 days for health workers (April-June).</t>
    </r>
  </si>
  <si>
    <r>
      <rPr>
        <b/>
        <sz val="10"/>
        <color theme="1"/>
        <rFont val="Arial"/>
        <family val="2"/>
      </rPr>
      <t xml:space="preserve">Additional spending (BRL 54.2 bn): </t>
    </r>
    <r>
      <rPr>
        <sz val="10"/>
        <color theme="1"/>
        <rFont val="Arial"/>
        <family val="2"/>
      </rPr>
      <t xml:space="preserve">Federal Government spending (BRL 44.2 bn) and transfers to Local Governments (BRL 10 bn) to combat the health crisis and cover higher health spending.
</t>
    </r>
    <r>
      <rPr>
        <b/>
        <sz val="10"/>
        <color theme="1"/>
        <rFont val="Arial"/>
        <family val="2"/>
      </rPr>
      <t xml:space="preserve">Forgone revenue (BRL 6.5 bn): </t>
    </r>
    <r>
      <rPr>
        <sz val="10"/>
        <color theme="1"/>
        <rFont val="Arial"/>
        <family val="2"/>
      </rPr>
      <t>a temporary (3 month) reduction in taxes on selected imported and domestic goods to combat Covid-19.</t>
    </r>
  </si>
  <si>
    <r>
      <rPr>
        <b/>
        <sz val="10"/>
        <color theme="1"/>
        <rFont val="Arial"/>
        <family val="2"/>
      </rPr>
      <t xml:space="preserve">Additional spending (BRL 374.8 bn):
</t>
    </r>
    <r>
      <rPr>
        <sz val="10"/>
        <color theme="1"/>
        <rFont val="Arial"/>
        <family val="2"/>
      </rPr>
      <t>• Targeted assistance for the elderly, poor, and unemployed, including (i) expanding the cash transfer program Bolsa Família to accommodate 1.2 million new beneficiaries; (ii) introducing a new “Covid-19” voucher payment of BRL600 a month (USD40) to 54 million poor families for three months, which is expected to be expanded by two more months; (iii) allowing temporary suspension of private sector employees or their working hours (and wages), with a government-paid income compensation proportional to the unemployment benefit entitlement; and (iv) providing electricity consumption subsidies for poor families. 
• The Federal Government is also providing transfers to subnational governments to cover social assistance costs, as well as revenue loss.</t>
    </r>
    <r>
      <rPr>
        <b/>
        <sz val="10"/>
        <color theme="1"/>
        <rFont val="Arial"/>
        <family val="2"/>
      </rPr>
      <t xml:space="preserve">
Forgone revenue (BRL 9.2 bn): 
</t>
    </r>
    <r>
      <rPr>
        <sz val="10"/>
        <color theme="1"/>
        <rFont val="Arial"/>
        <family val="2"/>
      </rPr>
      <t>• Lower social contributions for small businesses for 3 months.
• Elimination of the financial transactions tax for 3 months.</t>
    </r>
  </si>
  <si>
    <r>
      <rPr>
        <b/>
        <sz val="10"/>
        <color theme="1"/>
        <rFont val="Arial"/>
        <family val="2"/>
      </rPr>
      <t xml:space="preserve">Accelerated spending (BRL 63.8 bn): </t>
    </r>
    <r>
      <rPr>
        <sz val="10"/>
        <color theme="1"/>
        <rFont val="Arial"/>
        <family val="2"/>
      </rPr>
      <t xml:space="preserve">Advance payment of 13th pension benefit, wage bonuses to low-income workers, and sickness/disability benefits.
</t>
    </r>
    <r>
      <rPr>
        <b/>
        <sz val="10"/>
        <color theme="1"/>
        <rFont val="Arial"/>
        <family val="2"/>
      </rPr>
      <t xml:space="preserve">
Deferred revenue (BRL 132.2 bn)</t>
    </r>
    <r>
      <rPr>
        <sz val="10"/>
        <color theme="1"/>
        <rFont val="Arial"/>
        <family val="2"/>
      </rPr>
      <t>: 3-month delay in social contributions paid by firms and employers, as well as in small business taxes and PIT.</t>
    </r>
  </si>
  <si>
    <t>• Direct government loans, including credit lines to SMEs to finance payroll costs (BRL 34 bn), support to fund lending to microbusinesses (BRL 15.9 bn), support to a credit guarantee fund to finance SMEs (BRL 20 bn), and credit support to the tourism sector (BRL 5 bn).</t>
  </si>
  <si>
    <t>State guaranteed, subsidized bank lending (estimated at 2 percent of GDP):
• Subsidized loans for the construction and repair of houses, SMEs, monotributistas, and self-employed workers (autónomos);
• State-guaranteed funds (FOGAR/FONDEP) for credit to SMEs and monotributistas;
• Banco Nación and Anses loans, subsidies, and transfers for housing projects;
• Financing for SMEs to help implement remote working facilities;
• Financing to duty-free manufacturing zones to carry out infrastructure works;
• Subsidized loans for provincial governments through FFDP to reform provincial public sector and promote development projects;
• Suspension of public service cuts for 180 days due to non-payment of up to 3 consecutive invoices.</t>
  </si>
  <si>
    <t xml:space="preserve">Credit lines from public banks to SMEs, micro-firms, and individuals (BNDES: BRL 39bn, Caixa: BRL 154bn, Banco do Brasil: BRL100):  
• BNDES opened a working capital loan line for tourism and service sectors (small and medium-sized firms), renegotiated loan terms benefiting sectors such as oil and gas, airports, ports, energy, transportation, urban mobility, health, industry,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t>
  </si>
  <si>
    <r>
      <rPr>
        <b/>
        <sz val="10"/>
        <rFont val="Arial"/>
        <family val="2"/>
      </rPr>
      <t xml:space="preserve">Additional spending: 
• </t>
    </r>
    <r>
      <rPr>
        <sz val="10"/>
        <rFont val="Arial"/>
        <family val="2"/>
      </rPr>
      <t xml:space="preserve">First supplementary budget (KRW 2.1 tn): Epidemic prevention and treatment, support for medical institutions and quarantined households.
• Third supplementary budget (KRW 2.5 tn): Expanding diagnostic and treatment facilities and smart medical centers; promoting treatment and vaccine development; promoting test-trace-treatment to be a global standard and increasing official development aid of K COVID-19 response kits and tools. </t>
    </r>
  </si>
  <si>
    <r>
      <rPr>
        <b/>
        <sz val="10"/>
        <color theme="1"/>
        <rFont val="Arial"/>
        <family val="2"/>
      </rPr>
      <t xml:space="preserve">Additional spending (JPY 54.7 tn):
</t>
    </r>
    <r>
      <rPr>
        <sz val="10"/>
        <color theme="1"/>
        <rFont val="Arial"/>
        <family val="2"/>
      </rPr>
      <t xml:space="preserve">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1.1 tn).
Additional measures announced May 27 include: 
• Transfers to local governments (JPY 2 tn); 
• Expansion of work subsidies (JPY 1.3 tn); 
• Subsidies for financial institutions' lending (JPY 11.7 tn); 
• Replenishment of cash transfers for firms (JPY 1.9 tn); 
• Subsidies to affected firms for rent payment (JPY 2 tn).
</t>
    </r>
    <r>
      <rPr>
        <b/>
        <sz val="10"/>
        <color theme="1"/>
        <rFont val="Arial"/>
        <family val="2"/>
      </rPr>
      <t xml:space="preserve">
Forgone revenue: </t>
    </r>
    <r>
      <rPr>
        <sz val="10"/>
        <color theme="1"/>
        <rFont val="Arial"/>
        <family val="2"/>
      </rPr>
      <t>Reduction of property tax and expansion of the loss carry-back program.</t>
    </r>
  </si>
  <si>
    <r>
      <rPr>
        <b/>
        <sz val="10"/>
        <rFont val="Arial"/>
        <family val="2"/>
      </rPr>
      <t xml:space="preserve">Additional spending: 
</t>
    </r>
    <r>
      <rPr>
        <sz val="10"/>
        <rFont val="Arial"/>
        <family val="2"/>
      </rPr>
      <t xml:space="preserve">• Raising minimum pension and cash assistance to families in need.
• Increasing employment protection by loosening short-term work allowance rules.
• Subsidies to firms for workers placed on unpaid leave and for workers' salaries in affected firms.
• Subsidies to firms for workers' salaries in firms affected by Covid-19. 
• Cash transfers to vulnerable households. 
</t>
    </r>
    <r>
      <rPr>
        <b/>
        <sz val="10"/>
        <rFont val="Arial"/>
        <family val="2"/>
      </rPr>
      <t xml:space="preserve">
Forgone revenue: 
</t>
    </r>
    <r>
      <rPr>
        <sz val="10"/>
        <rFont val="Arial"/>
        <family val="2"/>
      </rPr>
      <t xml:space="preserve">• Reduced taxes for affected industries (particularly tourism): hotel accommodation tax will be suspended until November; VAT rate on internal travel reduced from 18% to 1%.
</t>
    </r>
  </si>
  <si>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 Tax deferrals for the self-employed, farmers, tailors, grocers, lawyers, financial advisers, architects, engineers, doctors, and dentists, and affected sectors, such as retail, iron-steel, logistics-transportation, etc.
• Tax deferrals for over 65s or those with chronic illnesses.
• Postponed payments regarding withholding tax returns and VAT declarations
• Payment of SSC premiums has also been postponed.  
• Land occupation and revenue sharing payments in leasing of hotels will be postponed for 6 months.
</t>
    </r>
  </si>
  <si>
    <t xml:space="preserve">• Credit guarantee fund (TBCG) guarantees to SMEs, large firms, and individuals. </t>
  </si>
  <si>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'mn', 'bn', and 'tn' refer to million, billion, and trillion respectively; 'LC bn' refers to local currency billion and 'n.a.' are not available. Numbers in U.S. dollar and percent of GDP are based on June 2020 World Economic Outlook Update projections for 2020 unless otherwise stated. For Argentina, U.S. dollar values use end-May 2020 exchange rate. G20 = Group of Twenty; AE = Advanced Economy; EM = Emerging Market; LIDC = Low Income Developing Country. </t>
  </si>
  <si>
    <t>• Special guarantee for SMEs and small merchants (KRW 5.5 tn), 
• guarantee for small businesses (KRW 3 tn).
• guarantees for SMEs and middle market enterprises with unfavorable credit history (KRW 7.9 tn).
• Korea Credit Guarantee Fund (KODIT) to support corporate bond issuance by primary collateralized obligations (KRW 11.7 tn).
• guarantees/loans related to trade financing and overseas projects (KRW 6 tn).</t>
  </si>
  <si>
    <t xml:space="preserve">• From February to June, Korean government has announced KRW 147 tn financial support measures (excluding guarantee, mostly for SMEs), including KRW 40 tn financial support for key industries.
</t>
  </si>
  <si>
    <r>
      <rPr>
        <b/>
        <sz val="10"/>
        <rFont val="Arial"/>
        <family val="2"/>
      </rPr>
      <t xml:space="preserve">Additional Spending (KRW 50.1tn):
</t>
    </r>
    <r>
      <rPr>
        <sz val="10"/>
        <rFont val="Arial"/>
        <family val="2"/>
      </rPr>
      <t xml:space="preserve">• The government has announced consumption coupons for the poor, emergency family care support, and support for business re-opening (KRW 5.6tn).
• The 1st supplementary budget included support for SMEs, additional consumption coupons, and grants to local governments (KRW 8.8 tn).
• The 2nd supplementary budget included cash transfers to bottom 70% of households (KRW 14.3 tn). 
• The 3rd supplementary budget includes support for companies, employment, and social safety nets; boost to consumption, investment, and local economies; and Korean new deal for digital and green investment (KRW 21.4 tn).
</t>
    </r>
    <r>
      <rPr>
        <b/>
        <sz val="10"/>
        <rFont val="Arial"/>
        <family val="2"/>
      </rPr>
      <t xml:space="preserve">Forgone revenue (KRW 3.4 tn):
</t>
    </r>
    <r>
      <rPr>
        <sz val="10"/>
        <rFont val="Arial"/>
        <family val="2"/>
      </rPr>
      <t xml:space="preserve">• Temporary corporate/income tax cuts for landlords who reduce commercial rents.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 </t>
    </r>
  </si>
  <si>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 xml:space="preserve">
Deferred revenue (KRW 29.7 tn)</t>
    </r>
    <r>
      <rPr>
        <sz val="10"/>
        <rFont val="Arial"/>
        <family val="2"/>
      </rPr>
      <t>: Tax deferral covering a broad range of taxes for small businesses and the self-employed in medical, tourism, performance, hospitality, and other affected sectors (VAT and corporation tax--KRW 4.9 tn); social security contribution payment and electricity charge deferral for households (KRW 10 tn); additional tax deferral for small shop owners and freelancers for 3 months (KRW 12.4 tn); transportation, energy, environment tax deferral for oil refinement companies and liquor tax deferral for brewing companies (KRW 2tn); deferral of customs duties (KRW 0.4 tn).</t>
    </r>
  </si>
  <si>
    <t xml:space="preserve">• Government guarantees for bank lending to micro, small, and medium enterprises (IDR 150 tn)
</t>
  </si>
  <si>
    <r>
      <t xml:space="preserve">
• </t>
    </r>
    <r>
      <rPr>
        <sz val="10"/>
        <rFont val="Arial"/>
        <family val="2"/>
      </rPr>
      <t>The federal government lau</t>
    </r>
    <r>
      <rPr>
        <sz val="10"/>
        <color theme="1"/>
        <rFont val="Arial"/>
        <family val="2"/>
      </rPr>
      <t>nched a guarantee mechanism for new credit lines, initially with a maximum maturity of 12 months granted by banks to viable non-financial corporations a</t>
    </r>
    <r>
      <rPr>
        <sz val="10"/>
        <rFont val="Arial"/>
        <family val="2"/>
      </rPr>
      <t>nd self employed (up to 50bn), which will be modified to extend the maturity to 36 months, allocate 10bn of the 50bn to SMEs, replace the loss tranching by uniform loss sharing between government and banks, and ease the viability criterion. It also signed a memorandum of understanding with reinsurers committing to provide reinsurance for short-term (&lt;2 years) trade credit insurance</t>
    </r>
    <r>
      <rPr>
        <sz val="10"/>
        <color theme="1"/>
        <rFont val="Arial"/>
        <family val="2"/>
      </rPr>
      <t xml:space="preserve">.
</t>
    </r>
    <r>
      <rPr>
        <sz val="10"/>
        <color theme="1"/>
        <rFont val="Symbol"/>
        <family val="1"/>
        <charset val="2"/>
      </rPr>
      <t>·</t>
    </r>
    <r>
      <rPr>
        <sz val="10.4"/>
        <color theme="1"/>
        <rFont val="Arial"/>
        <family val="2"/>
      </rPr>
      <t xml:space="preserve"> </t>
    </r>
    <r>
      <rPr>
        <sz val="10"/>
        <color theme="1"/>
        <rFont val="Arial"/>
        <family val="2"/>
      </rPr>
      <t>Regional governments also provide guarantees for affected companies and self-employed in need of bridge loans.</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</si>
  <si>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will last up to 3 months from April.
</t>
    </r>
    <r>
      <rPr>
        <sz val="10"/>
        <rFont val="Symbol"/>
        <family val="1"/>
        <charset val="2"/>
      </rPr>
      <t>·</t>
    </r>
    <r>
      <rPr>
        <sz val="10"/>
        <rFont val="Arial"/>
        <family val="2"/>
      </rPr>
      <t xml:space="preserve"> One-off transfer of Lk40,000 to affected people (in tourism, active processing and employees of small businesses not included in the first package, including employees of large businesses that have been laid off due to the pandemic.
</t>
    </r>
    <r>
      <rPr>
        <b/>
        <sz val="10"/>
        <rFont val="Arial"/>
        <family val="2"/>
      </rPr>
      <t xml:space="preserve">
Foregone revenue:
</t>
    </r>
    <r>
      <rPr>
        <b/>
        <sz val="10"/>
        <rFont val="Symbol"/>
        <family val="1"/>
        <charset val="2"/>
      </rPr>
      <t>·</t>
    </r>
    <r>
      <rPr>
        <b/>
        <sz val="10"/>
        <rFont val="Arial"/>
        <family val="2"/>
      </rPr>
      <t xml:space="preserve"> </t>
    </r>
    <r>
      <rPr>
        <sz val="10"/>
        <rFont val="Arial"/>
        <family val="2"/>
      </rPr>
      <t>Small businesses (those below an annual turnover threshold of Lk14 million) will not pay profit tax in 2020 (normative act April 23). Estimated amount Lk81 mn.</t>
    </r>
  </si>
  <si>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t>
  </si>
  <si>
    <t>Table 1. Summary of Country Fiscal Measures in Response to the COVID-19 Pandemic</t>
  </si>
  <si>
    <t>New = N</t>
  </si>
  <si>
    <t>Primary</t>
  </si>
  <si>
    <t>Backup</t>
  </si>
  <si>
    <t>Last updated</t>
  </si>
  <si>
    <t>by</t>
  </si>
  <si>
    <t>Note</t>
  </si>
  <si>
    <t>ET</t>
  </si>
  <si>
    <t>SY</t>
  </si>
  <si>
    <t>PE</t>
  </si>
  <si>
    <t>Euro Area / EU</t>
  </si>
  <si>
    <t>AL</t>
  </si>
  <si>
    <t>RL</t>
  </si>
  <si>
    <r>
      <t xml:space="preserve">This database summarizes key fiscal measures governments have announced or taken in selected economies in response to the COVID-19 pandemic as of </t>
    </r>
    <r>
      <rPr>
        <sz val="15"/>
        <color rgb="FFFF0000"/>
        <rFont val="Arial"/>
        <family val="2"/>
      </rPr>
      <t>June 12, 2020</t>
    </r>
    <r>
      <rPr>
        <sz val="15"/>
        <color theme="1"/>
        <rFont val="Arial"/>
        <family val="2"/>
      </rPr>
      <t>, expanding the country coverage from the Annex in April 2020 Fiscal Monitor.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those measures in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 For questions and suggestions, please contact IMF-Fiscal_CovidData@imf.org.</t>
    </r>
  </si>
  <si>
    <t>Myanmar</t>
  </si>
  <si>
    <t>Uzbekistan</t>
  </si>
  <si>
    <t>Nepal</t>
  </si>
  <si>
    <t>Niger</t>
  </si>
  <si>
    <t>Zambia</t>
  </si>
  <si>
    <t>N</t>
  </si>
  <si>
    <t>TBD</t>
  </si>
  <si>
    <r>
      <rPr>
        <b/>
        <sz val="10"/>
        <rFont val="Arial"/>
        <family val="2"/>
      </rPr>
      <t>Additional spending (AUD 9.4 bn):</t>
    </r>
    <r>
      <rPr>
        <sz val="10"/>
        <rFont val="Arial"/>
        <family val="2"/>
      </rPr>
      <t xml:space="preserve">
• Support for primary and aged care, hospitals, and research to ensure effective diagnosis and treatment of the infected and minimize the spread of the virus.
• The Commonwealth government to pay for half of all additional costs incurred by states and territories in diagnosing and treating patients with COVID-19.
• Australia co-funds the WHO's Pacific regional coronavirus response plan together with New Zealand.
</t>
    </r>
  </si>
  <si>
    <r>
      <rPr>
        <b/>
        <sz val="10"/>
        <color theme="1"/>
        <rFont val="Arial"/>
        <family val="2"/>
      </rPr>
      <t xml:space="preserve">Additional spending (CAD 212.2 bn): 
</t>
    </r>
    <r>
      <rPr>
        <sz val="10"/>
        <color theme="1"/>
        <rFont val="Arial"/>
        <family val="2"/>
      </rPr>
      <t>• Income support for firms and people, including payments to workers without access to sick leave and employment insurance, an increase in existing GST tax credits and childcare benefits, support to students and the most vulnerable including through a new Indigenous Community Support Fund, and a firm subsidy equal to 75 percent of employee wages for up to 3 months.
• Enhancing Canada's Work-Sharing program to support employers and their employees who experience a downturn due to COVID-19, doubling the length of time can use Work-Share from 38 to 76 weeks.
• Increase the maximum annual Canada Child Benefit payment amounts.
• Support to students and new graduates who are not eligible for the Canada Emergency Response Benefit.</t>
    </r>
  </si>
  <si>
    <t>• Farm Credit Canada will receive support from the government that will allow for an additional CAD 5.2 bn in lending capacity to producers, agribusinesses, and food processors.</t>
  </si>
  <si>
    <t xml:space="preserve">• Established a Business Credit Availability Program (BCAP) to provide support through the Business Development Bank of Canada (BDC) and Export Development Canada (EDC), which work with private sector lenders to coordinate on credit solutions for individual businesses, including in sectors such as oil and gas, air transportation, exportation and tourism. This includes combination of loan guarantees and shared financing arrangements.
</t>
  </si>
  <si>
    <t>No change</t>
  </si>
  <si>
    <t>(iii) €400 bn to provide additional state guarantees to non-financial corporations to alleviate liquidity bottlenecks and support refinancing.
•  For the new and expansion of the existing KfW-programs, the guarantee framework of the federal government was increased by €357 bn. 
•  Total guarantees provided by state governments to be increased by €63 bn.</t>
  </si>
  <si>
    <r>
      <rPr>
        <b/>
        <sz val="10"/>
        <rFont val="Arial"/>
        <family val="2"/>
      </rPr>
      <t xml:space="preserve">Additional spending (€71.5 bn): </t>
    </r>
    <r>
      <rPr>
        <sz val="10"/>
        <rFont val="Arial"/>
        <family val="2"/>
      </rPr>
      <t xml:space="preserve">including broadening the wage supplementation fund to provide income support to laid-off workers and the self-employed, vouchers for the payment of babysitters (€52 bn); grants for SMEs to cover rents, utility bills (€15 bn); education (€1.5 bn).
</t>
    </r>
    <r>
      <rPr>
        <b/>
        <sz val="10"/>
        <rFont val="Arial"/>
        <family val="2"/>
      </rPr>
      <t>Forgone revenue (€2 bn)</t>
    </r>
    <r>
      <rPr>
        <sz val="10"/>
        <rFont val="Arial"/>
        <family val="2"/>
      </rPr>
      <t>: tax credits.</t>
    </r>
  </si>
  <si>
    <r>
      <rPr>
        <b/>
        <sz val="10"/>
        <color theme="1"/>
        <rFont val="Arial"/>
        <family val="2"/>
      </rPr>
      <t>Additional spending (JPY 4.3 tn):</t>
    </r>
    <r>
      <rPr>
        <sz val="10"/>
        <color theme="1"/>
        <rFont val="Arial"/>
        <family val="2"/>
      </rPr>
      <t xml:space="preserve">
• Production, procurement, and distribution of critical equipment such as masks and ventilators (JPY 0.8 tn).
• Transfers to local governments to be used for their health- and long-term care related measures including cash handouts to medical and long-term care practitioners (JPY 2.4 tn).
• Other health-related measures, e.g., vaccine development, etc. (JPY 1.1 tn).</t>
    </r>
  </si>
  <si>
    <r>
      <rPr>
        <b/>
        <sz val="10"/>
        <color theme="1"/>
        <rFont val="Arial"/>
        <family val="2"/>
      </rPr>
      <t xml:space="preserve">Additional spending (JPY 54.5 tn):
</t>
    </r>
    <r>
      <rPr>
        <sz val="10"/>
        <color theme="1"/>
        <rFont val="Arial"/>
        <family val="2"/>
      </rPr>
      <t xml:space="preserve">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 tn).
Additional measures announced May 27 include: 
• Transfers to local governments (JPY 2 tn); 
• Expansion of work subsidies (JPY 1.3 tn); 
• Subsidies for public/private financial institutions' lending (JPY 11.7 tn); 
• Replenishment of cash transfers for firms (JPY 1.9 tn); 
• Subsidies to affected firms for rent payment (JPY 2 tn).
</t>
    </r>
    <r>
      <rPr>
        <b/>
        <sz val="10"/>
        <color theme="1"/>
        <rFont val="Arial"/>
        <family val="2"/>
      </rPr>
      <t xml:space="preserve">
Forgone revenue: </t>
    </r>
    <r>
      <rPr>
        <sz val="10"/>
        <color theme="1"/>
        <rFont val="Arial"/>
        <family val="2"/>
      </rPr>
      <t>Reduction of property tax and expansion of the loss carry-back program.</t>
    </r>
  </si>
  <si>
    <r>
      <rPr>
        <b/>
        <sz val="10"/>
        <rFont val="Arial"/>
        <family val="2"/>
      </rPr>
      <t xml:space="preserve">Additional Spending (KRW 50.1 tn):
</t>
    </r>
    <r>
      <rPr>
        <sz val="10"/>
        <rFont val="Arial"/>
        <family val="2"/>
      </rPr>
      <t xml:space="preserve">• The government has announced consumption coupons for the poor, emergency family care support, and support for business re-opening (KRW 5.6 tn).
• The 1st supplementary budget included support for SMEs, additional consumption coupons, and grants to local governments (KRW 8.8 tn).
• The 2nd supplementary budget included cash transfers to bottom 70% of households (KRW 14.3 tn). 
• The 3rd supplementary budget includes support for companies, employment, and social safety nets; boost to consumption, investment, and local economies; and Korean new deal for digital and green investment (KRW 21.4 tn).
</t>
    </r>
    <r>
      <rPr>
        <b/>
        <sz val="10"/>
        <rFont val="Arial"/>
        <family val="2"/>
      </rPr>
      <t xml:space="preserve">Forgone revenue (KRW 3.4 tn):
</t>
    </r>
    <r>
      <rPr>
        <sz val="10"/>
        <rFont val="Arial"/>
        <family val="2"/>
      </rPr>
      <t xml:space="preserve">• Temporary corporate/income tax cuts for landlords who reduce commercial rents.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 </t>
    </r>
  </si>
  <si>
    <t xml:space="preserve">Measures include:
• Non-guarantee measures mostly for SMEs (KRW 79.6 tn), 
• Loans for venture capital and SMEs (KRW 2.2 tn).
• Financial support for (1) key industries (KRW 40 tn) and (2) other businesses affected (35 tn) 
</t>
  </si>
  <si>
    <t>• Up to €100 bn government guarantees for firms and self-employed, covering both loans and commercial paper of medium-sized companies that participate in Spain’s Alternative Fixed Income Market (MARF)
• Additional guarantees of up to €2 bn for exporters through the Spanish Export Insurance Credit Company 
• Introduction of a special credit line for the tourism sector through the ICO (€400 mn)  
• Guarantees for loan maturity extensions to farmers using the special 2017 drought credit lines 
• A line of guarantees to provide financial assistance on housing expenses for vulnerable households (€1.2 bn) 
• Additional loan guarantees for SMEs and self-employed through the Compañía Española de Reafianzamiento (€1 bn) 
• An ICO line of guarantees for the automotive sector (€500 mn).
• Additional government guarantees for firms to ecourage investment in sectors viewed as generating the most value added (€40 bn).</t>
  </si>
  <si>
    <t>Additional spending on health 5→9.4; nonhealth spending/revenue 128→193</t>
  </si>
  <si>
    <t>Additonal nonhealth spending 46.5→71.5</t>
  </si>
  <si>
    <t>Quasi-fiscal 147,000→170,000</t>
  </si>
  <si>
    <t>Total additional spending/revenue meausres 120→232 (mainly from additional nonhealth spending</t>
  </si>
  <si>
    <t>Guarantees 105→145</t>
  </si>
  <si>
    <t>minor change in additional spending composition</t>
  </si>
  <si>
    <t>Additional nonhealth spending 37→427.8, mainly from the Next Generation EU recovery fund agreed on 7/21.</t>
  </si>
  <si>
    <t>Additional spening/revenue 124.5→192.6</t>
  </si>
  <si>
    <r>
      <rPr>
        <b/>
        <sz val="10"/>
        <color theme="1"/>
        <rFont val="Arial"/>
        <family val="2"/>
      </rPr>
      <t xml:space="preserve">Accelerated spending: </t>
    </r>
    <r>
      <rPr>
        <sz val="10"/>
        <color theme="1"/>
        <rFont val="Arial"/>
        <family val="2"/>
      </rPr>
      <t xml:space="preserve">
</t>
    </r>
    <r>
      <rPr>
        <b/>
        <sz val="10"/>
        <color theme="1"/>
        <rFont val="Arial"/>
        <family val="2"/>
      </rPr>
      <t>•</t>
    </r>
    <r>
      <rPr>
        <sz val="10"/>
        <rFont val="Arial"/>
        <family val="2"/>
      </rPr>
      <t xml:space="preserve"> Bring forward public infrastructure spending to FY2020/21.</t>
    </r>
    <r>
      <rPr>
        <b/>
        <sz val="10"/>
        <color theme="1"/>
        <rFont val="Arial"/>
        <family val="2"/>
      </rPr>
      <t xml:space="preserve">
Deferred revenue</t>
    </r>
    <r>
      <rPr>
        <sz val="10"/>
        <color theme="1"/>
        <rFont val="Arial"/>
        <family val="2"/>
      </rPr>
      <t>: 
• Deferral of income tax for the self employed and VAT payments; 
• Time to Pay arrangements (tax debt restructuring) for businesses and individuals.</t>
    </r>
  </si>
  <si>
    <r>
      <rPr>
        <b/>
        <sz val="10"/>
        <rFont val="Arial"/>
        <family val="2"/>
      </rPr>
      <t>Additional spending (AR $707 bn)</t>
    </r>
    <r>
      <rPr>
        <sz val="10"/>
        <rFont val="Arial"/>
        <family val="2"/>
      </rPr>
      <t>:</t>
    </r>
    <r>
      <rPr>
        <b/>
        <sz val="10"/>
        <rFont val="Arial"/>
        <family val="2"/>
      </rPr>
      <t xml:space="preserve">
</t>
    </r>
    <r>
      <rPr>
        <sz val="10"/>
        <rFont val="Arial"/>
        <family val="2"/>
      </rPr>
      <t xml:space="preserve">• One-off additional allowances for pensioners, beneficiaries of child, pregnancy, and other social allowances, as well as food stamps. 
• Emergency family allowance for monotributistas, informal workers, and unemployed.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t>
    </r>
    <r>
      <rPr>
        <b/>
        <sz val="10"/>
        <rFont val="Arial"/>
        <family val="2"/>
      </rPr>
      <t>Forgone revenue (AR $79.7 bn)</t>
    </r>
    <r>
      <rPr>
        <sz val="10"/>
        <rFont val="Arial"/>
        <family val="2"/>
      </rPr>
      <t xml:space="preserve">:
• Most affected sectors granted 95% reduction in employers’ contributions to the pension system.
• VAT refund for milk sales.
• Reduction in employeres' contributions to Social Security. </t>
    </r>
  </si>
  <si>
    <t>Additional health spending 33→48</t>
  </si>
  <si>
    <t>Total on-budget 445→510</t>
  </si>
  <si>
    <r>
      <rPr>
        <b/>
        <sz val="10"/>
        <rFont val="Arial"/>
        <family val="2"/>
      </rPr>
      <t xml:space="preserve">Additional spending (RMB 2.9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1.5 tn):
</t>
    </r>
    <r>
      <rPr>
        <sz val="10"/>
        <rFont val="Arial"/>
        <family val="2"/>
      </rPr>
      <t>•  VAT exemptions for goods and services related to epidemic control and for small taxpayers in Hubei; and VAT rate cut from 3% to 1% in other regions until the year end. 
• Waived VAT on interest payments to financial institutions who extend loans of RMB 1 million or less to SMEs and sole proprietors. Instituted a 0.5 percentage point VAT reduction on secondhand vehicles sold by dealers from May until end-2023.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June (April). 
• Allow companies suffering from serious difficulties to postpone social insurance payments until end-2020.</t>
    </r>
  </si>
  <si>
    <t xml:space="preserve">• The national guarantee fund will work with banks providing loan guarantee services, planning to increase re-guarantee business by RMB 400 bn in 2020. Local government-backed guarantee/re-guarantee agencies are required to lower guarantee service costs to below 1 percent for SMEs.
</t>
  </si>
  <si>
    <t>•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 Road tolls were exempted beginning February 17, and some service fees charged by airports and railways were cut. Road tolls were reinstated on May 6. 
• Electricity prices were cut by 5%, which were extended to end-2020 except those in high-energy-consuming industries.
• Railway logistic fee ws lowered by 50% until end-June.
• The port construction fee has been exempted till end-2020, and some other port-related fees were cut. 
• Exempt rent payments by SMEs in the service sector on state-owned properties for three months. Landlords who offer rent reduction or exemption will receive tax cuts and loans with preferential interest rates.</t>
  </si>
  <si>
    <t xml:space="preserve">Nonehealth foregone revenue 1.1tn→1.5tn; items originally under below-the-line were moved to quasi-fiscal. Quasi-fiscal has new estimate of RMB 930 bn.  </t>
  </si>
  <si>
    <t xml:space="preserve">• Allow China’s state-funded infrastructure projects to use up to 15% of investment for a project to pay wages. Previously only 10 percent was earmarked for worker salaries.
• The central government transfer payment rate to provinces was increased from 3% to 4% for pensions.
• For SMEs (esp. consumer service) that lease the state-owned assets, central government said to waive 3-month rents (first half of 2020).
• Tax collection retention ratio for local budgets raised to 5% (March 1 to June 30).
</t>
  </si>
  <si>
    <r>
      <rPr>
        <b/>
        <sz val="10"/>
        <rFont val="Arial"/>
        <family val="2"/>
      </rPr>
      <t xml:space="preserve">Additional spending (R 211 bn):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 Increase transfers to households: grants and food distribution and public work program expansions. 
• Increase child support and all other grants from May till Oct.
• Distribute food parcels and provide transfer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(R 26 bn): 
</t>
    </r>
    <r>
      <rPr>
        <sz val="10"/>
        <rFont val="Arial"/>
        <family val="2"/>
      </rPr>
      <t>• Tax subsidy of up to R 550 to employees with an income below R 6,500 per month.
• Skills development levy holiday for four months.</t>
    </r>
  </si>
  <si>
    <r>
      <rPr>
        <b/>
        <sz val="10"/>
        <color theme="1"/>
        <rFont val="Arial"/>
        <family val="2"/>
      </rPr>
      <t xml:space="preserve">Additional spending (SAR 47 bn): </t>
    </r>
    <r>
      <rPr>
        <sz val="10"/>
        <color theme="1"/>
        <rFont val="Arial"/>
        <family val="2"/>
      </rPr>
      <t>Budget reallocation within the Ministry of Health budget or a reallocation from other parts of the budget for emergency spending to fight COVID-19.</t>
    </r>
  </si>
  <si>
    <r>
      <rPr>
        <b/>
        <sz val="10"/>
        <color theme="1"/>
        <rFont val="Arial"/>
        <family val="2"/>
      </rPr>
      <t xml:space="preserve">Additional spending (SAR 10.6 bn): 
</t>
    </r>
    <r>
      <rPr>
        <sz val="10"/>
        <color theme="1"/>
        <rFont val="Arial"/>
        <family val="2"/>
      </rPr>
      <t xml:space="preserve">• Wage benefits to employers who keep their workers to be provided through the unemployment insurance scheme, SANED (SAR 9 bn). This wage benefits have been extended. 
• Ministry of Energy announced temporary electricity subsidies to commercial, industrial, and agricultural sectors (SAR 0.9 bn).
</t>
    </r>
  </si>
  <si>
    <t xml:space="preserve">Minor change in additional non-health spending </t>
  </si>
  <si>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 from Aapril to September.</t>
    </r>
  </si>
  <si>
    <t>Serbia</t>
  </si>
  <si>
    <t>On-budget measures</t>
  </si>
  <si>
    <t>Country /
Country Group</t>
  </si>
  <si>
    <t>Total
size</t>
  </si>
  <si>
    <t>Spending and revenue measures
in the health sector</t>
  </si>
  <si>
    <t>Spending and revenue measures
in areas other than health</t>
  </si>
  <si>
    <t>Equity injections, asset purchases, loans</t>
  </si>
  <si>
    <t>Guarantees on loans,
other contingent liabilities</t>
  </si>
  <si>
    <t>Spending Measures:</t>
  </si>
  <si>
    <t>Montenegro</t>
  </si>
  <si>
    <t>North Macedonia</t>
  </si>
  <si>
    <t>Non-Spending Measures:</t>
  </si>
  <si>
    <t>BIH</t>
  </si>
  <si>
    <t>Spending measures</t>
  </si>
  <si>
    <t>Checked - revised Special fund from 50m to 500m</t>
  </si>
  <si>
    <t>Non-spending measures</t>
  </si>
  <si>
    <t>Includes Write off of late payments with PM estimate</t>
  </si>
  <si>
    <t>Kosovo</t>
  </si>
  <si>
    <t>Non-spending Measures:</t>
  </si>
  <si>
    <t>Bosnia</t>
  </si>
  <si>
    <t>Bryn</t>
  </si>
  <si>
    <t xml:space="preserve">Nonhealth additional meausres 2.3 tn→3.2 tn, authorities extended food rations to vulnerable households. </t>
  </si>
  <si>
    <r>
      <rPr>
        <b/>
        <sz val="10"/>
        <color theme="1"/>
        <rFont val="Arial"/>
        <family val="2"/>
      </rPr>
      <t>Additional spending</t>
    </r>
    <r>
      <rPr>
        <sz val="10"/>
        <color theme="1"/>
        <rFont val="Arial"/>
        <family val="2"/>
      </rPr>
      <t xml:space="preserve">:
• RUB 140 bn – new infection hospitals, additional beds and re-equipment of existing beds, special ambulances and equipment.
• RUB 10 bn – bonus fund for medical staff, R&amp;D in diagnostics and prevention.
• RUB 50 bn – federal government top-ups to medical staff wages. 
</t>
    </r>
    <r>
      <rPr>
        <b/>
        <sz val="10"/>
        <color theme="1"/>
        <rFont val="Arial"/>
        <family val="2"/>
      </rPr>
      <t xml:space="preserve">• </t>
    </r>
    <r>
      <rPr>
        <sz val="10"/>
        <color theme="1"/>
        <rFont val="Arial"/>
        <family val="2"/>
      </rPr>
      <t xml:space="preserve">Medical staff directly engaged in coronavirus efforts will receive additional federal compensation.
</t>
    </r>
    <r>
      <rPr>
        <b/>
        <sz val="10"/>
        <color theme="1"/>
        <rFont val="Arial"/>
        <family val="2"/>
      </rPr>
      <t xml:space="preserve">
Forgone revenue</t>
    </r>
    <r>
      <rPr>
        <sz val="10"/>
        <color theme="1"/>
        <rFont val="Arial"/>
        <family val="2"/>
      </rPr>
      <t>:
• RUB 32 bn - zero import duties for pharmaceuticals, medical supplies and equipment.</t>
    </r>
  </si>
  <si>
    <r>
      <rPr>
        <b/>
        <sz val="10"/>
        <rFont val="Arial"/>
        <family val="2"/>
      </rPr>
      <t xml:space="preserve">Additional spending (RUB 1.8 tn):  
</t>
    </r>
    <r>
      <rPr>
        <sz val="10"/>
        <rFont val="Arial"/>
        <family val="2"/>
      </rPr>
      <t xml:space="preserve">• Sick leave benefits for the quarantined or self-isolating individuals and increases in unemployment and child benefits 
• Interest rate subsidies for systemically important and affected companies to finance minimum wages.
• Support for large companies (construction, car-makers, air transportation, light industry).
• Credit to affected sectors to protect employment with partial/full asset write-offs if employment is kept above 80%.
• Grants for SMEs in affected industries to cover salaries.
• Support to airlines (RUB 23 bn) and car-makers (RUB 25 bn) (state procurement and interest rate subsidies).
• Federal transfers to regions.
• Construction sector support, including subsidized rates for a new mortgage program (costed at RUB 6 bn).
</t>
    </r>
    <r>
      <rPr>
        <b/>
        <sz val="10"/>
        <rFont val="Arial"/>
        <family val="2"/>
      </rPr>
      <t xml:space="preserve">
Forgone revenue (RUB 474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
• Social contribution and CIT rates for IT firms will be cut permanently: from 14 percent to 7.6 percent for social contributions and from 20 percent to 3 percent for CIT.</t>
    </r>
  </si>
  <si>
    <t xml:space="preserve">Nonhealth foregone revenue 250 bn→474 bn, because of permanent CIT rate cuts </t>
  </si>
  <si>
    <t>• The federal government announced guarantees of up to RUB 500 bn on bank lending to firms, including 
(1) RUB 220 bn in guarantees to VEB to guarantee bank credit to systematically-important enterprises; 
(2) RUB 160 in supporting domestic aircraft makers by issuing guarantees on domestic leasing companies 2020-21 borrowings for purchasing domestically produced passenger aircrafts and helicopters.</t>
  </si>
  <si>
    <t>• A new and temporary EU unemployment reinsurance fund (SURE) will provide up to €100 billion in loans on favorable terms to governments, in support of national unemployment and short-time work schemes. Loans will be guaranteed by the EU budget and EU Member States.
• The ESM will provide Pandemic Crisis Support to its members to finance crisis-related health spending of up to 2 percent of a requesting member’s 2019 GDP. Should all 19 countries draw from the credit line, this would amount to around €240 billion.
• On July 21, the European Council approved the Next Generation EU recovery fund. Part of this is EUR 360 billion in loans available from the Recovery and Resilience Facility (RRF) that EU members can apply for to finance parts of their national recovery and resilience plans.</t>
  </si>
  <si>
    <r>
      <rPr>
        <b/>
        <sz val="10"/>
        <rFont val="Arial"/>
        <family val="2"/>
      </rPr>
      <t xml:space="preserve">Additional spending (€46.2 bn): </t>
    </r>
    <r>
      <rPr>
        <sz val="10"/>
        <rFont val="Arial"/>
        <family val="2"/>
      </rPr>
      <t xml:space="preserve">Subsidies for wages of workers under the reduced-hour scheme; direct financial support for affected microenterprises, liberal professions, and independent workers; extension of expiring unemployment and other benefits; additional transfers for self-employed; additional spending in social programs; subsidies to the automobile sector.
</t>
    </r>
    <r>
      <rPr>
        <b/>
        <sz val="10"/>
        <rFont val="Arial"/>
        <family val="2"/>
      </rPr>
      <t xml:space="preserve">Foregone revenue (€3.4 bn): </t>
    </r>
    <r>
      <rPr>
        <sz val="10"/>
        <rFont val="Arial"/>
        <family val="2"/>
      </rPr>
      <t xml:space="preserve">Exoneration of social security contributions for affected firms in tourism sectors; carry back for corporate income taxes. </t>
    </r>
  </si>
  <si>
    <r>
      <rPr>
        <b/>
        <sz val="10"/>
        <rFont val="Arial"/>
        <family val="2"/>
      </rPr>
      <t>Accelerated spending (€23 bn):</t>
    </r>
    <r>
      <rPr>
        <sz val="10"/>
        <rFont val="Arial"/>
        <family val="2"/>
      </rPr>
      <t xml:space="preserve"> advance refund of tax credits (e.g. CIT and VAT).
</t>
    </r>
    <r>
      <rPr>
        <b/>
        <sz val="10"/>
        <rFont val="Arial"/>
        <family val="2"/>
      </rPr>
      <t xml:space="preserve">Deferred revenue (€33.5 bn): </t>
    </r>
    <r>
      <rPr>
        <sz val="10"/>
        <rFont val="Arial"/>
        <family val="2"/>
      </rPr>
      <t>Postponement of social security contributions and tax payment for companies from Q2 to Q3.</t>
    </r>
  </si>
  <si>
    <t xml:space="preserve">• State guarantees for liquidity bank loans to companies and credit reinsurance schemes (€319.5 bn); other guarantees (€8 bn). </t>
  </si>
  <si>
    <r>
      <rPr>
        <b/>
        <sz val="10"/>
        <color theme="1"/>
        <rFont val="Arial"/>
        <family val="2"/>
      </rPr>
      <t xml:space="preserve">Additional spending (£140.8 bn):
</t>
    </r>
    <r>
      <rPr>
        <sz val="10"/>
        <color theme="1"/>
        <rFont val="Arial"/>
        <family val="2"/>
      </rPr>
      <t xml:space="preserve">• Coronavirus Job Retention Scheme to subsidize furloughed employees' wages and firms' social security contributions (initially for 3 months but extended until October); 
• Income support for the self-employed (initially for 3 months and extended for another 3 months);
• Paid sick leave for self-isolating individuals and compensation for small firms for up to 2 weeks; 
• Direct grants for small firms in the most-affected (retail and hospitality) sectors; 
• Support for the vulnerable by expanding the Universal Credit and Working Tax Credit schemes; 
• Rent support by increasing the Local Housing Allowance; 
• International support, with £150 million made available to the IMF’s Catastrophe Containment and Relief Trust;
• Government support for charities. 
• £1,000 bonus to firms per employee brought back from furlough and employed until January 2021.
• Cover the cost of 25 hours' work a week at the National Minimum Wage for six months for hired unemployed up to 24 years old.
• Provide support to boost work search, skills, and apprenticeships.
• Entitle every diner to a 50% discount of up to £10 in August. 
</t>
    </r>
    <r>
      <rPr>
        <b/>
        <sz val="10"/>
        <color theme="1"/>
        <rFont val="Arial"/>
        <family val="2"/>
      </rPr>
      <t xml:space="preserve">
Forgone revenue (£15.8 bn):</t>
    </r>
    <r>
      <rPr>
        <sz val="10"/>
        <color theme="1"/>
        <rFont val="Arial"/>
        <family val="2"/>
      </rPr>
      <t xml:space="preserve"> 
• Property tax (business rate) holiday for firms in affected sectors for 12 months.
• Temporary cut on stamp duty land tax for 10 month.
• VAT rate reduction for hospitality, accommodation, and attractions for 6 months.</t>
    </r>
  </si>
  <si>
    <r>
      <rPr>
        <b/>
        <sz val="10"/>
        <color theme="1"/>
        <rFont val="Arial"/>
        <family val="2"/>
      </rPr>
      <t>Additional spending (£31.7 bn):</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 (£0.1 bn):</t>
    </r>
    <r>
      <rPr>
        <sz val="10"/>
        <color theme="1"/>
        <rFont val="Arial"/>
        <family val="2"/>
      </rPr>
      <t xml:space="preserve">
• Waiver of VAT and customs duties on critical medical imports, including ventilators, testing kits, and protective gear.</t>
    </r>
  </si>
  <si>
    <r>
      <rPr>
        <b/>
        <sz val="10"/>
        <color theme="1"/>
        <rFont val="Arial"/>
        <family val="2"/>
      </rPr>
      <t>Additional spending (Rs 360 bn):</t>
    </r>
    <r>
      <rPr>
        <sz val="10"/>
        <color theme="1"/>
        <rFont val="Arial"/>
        <family val="2"/>
      </rPr>
      <t xml:space="preserve">
• Additional spending on health infrastructure, including for COVID-19 testing facilities, personal protective equipment, isolation beds, ICU beds, and ventilators.</t>
    </r>
  </si>
  <si>
    <r>
      <rPr>
        <b/>
        <sz val="10"/>
        <rFont val="Arial"/>
        <family val="2"/>
      </rPr>
      <t xml:space="preserve">Additional spending (Rs 2,982.5 bn):
</t>
    </r>
    <r>
      <rPr>
        <sz val="10"/>
        <rFont val="Arial"/>
        <family val="2"/>
      </rPr>
      <t>• On March 26, the central government announced a package that provides insurance coverage for healthcare workers, substantial cash and in-kind (food, cooking gas) transfers, as well as wage and unemployment support to poor households (Rs 1.7 tn).
• Between May 13 and 17, additions to this initial package were announced. These focused on extending the government's existing rural employment guarantee scheme (additional Rs 400 bn), extension of food support to migrants (Rs 35 bn) and miscellaneous other measures (about Rs 157.5 bn).
• On June 30, authorities extended the provision of food rations to vulnerable households (Rs 900 bn).</t>
    </r>
  </si>
  <si>
    <t xml:space="preserve">• Government guarantees for bank lending to micro, small, and medium enterprises (IDR 150 tn), expected to be financed by Bank of Indonesia's purchase of new govermenment recovery bonds. 
</t>
  </si>
  <si>
    <t>• Treasury guaranteed loans.
• Credit guarantee fund  (set up in 2016) doubled in size from TL25 to 50 billion as part of the fiscal package.</t>
  </si>
  <si>
    <t xml:space="preserve">Governmentment guarantee 298→458 </t>
  </si>
  <si>
    <r>
      <t xml:space="preserve">Additional spending (€3.3 bn): </t>
    </r>
    <r>
      <rPr>
        <sz val="10"/>
        <color theme="1"/>
        <rFont val="Arial"/>
        <family val="2"/>
      </rPr>
      <t>on medical equipment, tests, administration etc.</t>
    </r>
    <r>
      <rPr>
        <b/>
        <sz val="10"/>
        <color theme="1"/>
        <rFont val="Arial"/>
        <family val="2"/>
      </rPr>
      <t xml:space="preserve">
</t>
    </r>
  </si>
  <si>
    <r>
      <rPr>
        <b/>
        <sz val="10"/>
        <color theme="1"/>
        <rFont val="Arial"/>
        <family val="2"/>
      </rPr>
      <t xml:space="preserve">Accelerated spending (€1 bn): 
•  </t>
    </r>
    <r>
      <rPr>
        <sz val="10"/>
        <color theme="1"/>
        <rFont val="Arial"/>
        <family val="2"/>
      </rPr>
      <t>Advance payments to hospitals.</t>
    </r>
    <r>
      <rPr>
        <b/>
        <sz val="10"/>
        <color theme="1"/>
        <rFont val="Arial"/>
        <family val="2"/>
      </rPr>
      <t xml:space="preserve">
Deferred revenue (€13.8 bn): </t>
    </r>
    <r>
      <rPr>
        <sz val="10"/>
        <color theme="1"/>
        <rFont val="Arial"/>
        <family val="2"/>
      </rPr>
      <t xml:space="preserve">
• Deferred payment of tax and social security contributions for affected firms, self-employed, and households, without application of interest charges and penalties, estimated at about 10 bn euros, and exemption of advanced VAT payment in December.</t>
    </r>
  </si>
  <si>
    <r>
      <t xml:space="preserve">
• </t>
    </r>
    <r>
      <rPr>
        <sz val="10"/>
        <rFont val="Arial"/>
        <family val="2"/>
      </rPr>
      <t>The federal government lau</t>
    </r>
    <r>
      <rPr>
        <sz val="10"/>
        <color theme="1"/>
        <rFont val="Arial"/>
        <family val="2"/>
      </rPr>
      <t>nched a guarantee mechanism for new credit lines, initially with a maximum maturity of 12 months granted by banks to viable non-financial corporations a</t>
    </r>
    <r>
      <rPr>
        <sz val="10"/>
        <rFont val="Arial"/>
        <family val="2"/>
      </rPr>
      <t>nd self employed (up to 50bn). Modified to extend the maturity to 36 months, allocate 10bn of the 50bn to SMEs, replace the loss tranching by uniform loss sharing between government and banks, and ease the viability criterion. It also signed a memorandum of understanding with reinsurers committing to provide reinsurance for short-term (&lt;2 years) trade credit insurance</t>
    </r>
    <r>
      <rPr>
        <sz val="10"/>
        <color theme="1"/>
        <rFont val="Arial"/>
        <family val="2"/>
      </rPr>
      <t xml:space="preserve">.
</t>
    </r>
    <r>
      <rPr>
        <sz val="10"/>
        <color theme="1"/>
        <rFont val="Symbol"/>
        <family val="1"/>
        <charset val="2"/>
      </rPr>
      <t>·</t>
    </r>
    <r>
      <rPr>
        <sz val="10.4"/>
        <color theme="1"/>
        <rFont val="Arial"/>
        <family val="2"/>
      </rPr>
      <t xml:space="preserve"> </t>
    </r>
    <r>
      <rPr>
        <sz val="10"/>
        <color theme="1"/>
        <rFont val="Arial"/>
        <family val="2"/>
      </rPr>
      <t>Regional governments also provide guarantees for affected companies and self-employed in need of bridge loans.</t>
    </r>
  </si>
  <si>
    <r>
      <rPr>
        <b/>
        <sz val="10"/>
        <rFont val="Arial"/>
        <family val="2"/>
      </rPr>
      <t>Additional spending:</t>
    </r>
    <r>
      <rPr>
        <sz val="10"/>
        <rFont val="Arial"/>
        <family val="2"/>
      </rPr>
      <t xml:space="preserve"> The government plans  to provide  support the most vulnerable households (CFAF 525 million have already been spent).</t>
    </r>
  </si>
  <si>
    <r>
      <rPr>
        <b/>
        <sz val="10"/>
        <color theme="1"/>
        <rFont val="Arial"/>
        <family val="2"/>
      </rPr>
      <t>Additional spending</t>
    </r>
    <r>
      <rPr>
        <sz val="10"/>
        <color theme="1"/>
        <rFont val="Arial"/>
        <family val="2"/>
      </rPr>
      <t>: medical supplies, personnel, adaptation of facilities.</t>
    </r>
  </si>
  <si>
    <r>
      <rPr>
        <b/>
        <sz val="10"/>
        <color theme="1"/>
        <rFont val="Arial"/>
        <family val="2"/>
      </rPr>
      <t>Deferred revenue</t>
    </r>
    <r>
      <rPr>
        <sz val="10"/>
        <color theme="1"/>
        <rFont val="Arial"/>
        <family val="2"/>
      </rPr>
      <t>:  Congress approved deferrals to the second half of 2020 and early 2021 for payments of income taxes and social contributions, favoring especially SMEs. VAT payments were also deferred for SMEs in non-essential sectors not operating during the curfew.</t>
    </r>
  </si>
  <si>
    <t>Only changed wording</t>
  </si>
  <si>
    <r>
      <rPr>
        <b/>
        <sz val="10"/>
        <color theme="1"/>
        <rFont val="Arial"/>
        <family val="2"/>
      </rPr>
      <t>Additional spending:
•</t>
    </r>
    <r>
      <rPr>
        <sz val="10"/>
        <color theme="1"/>
        <rFont val="Arial"/>
        <family val="2"/>
      </rPr>
      <t xml:space="preserve"> Compensation of up to 90 percent of labor costs for companies expecting a reduction in revenues of 20 percent or more; compensation for affected sectors (for example, hospitality services and travel). </t>
    </r>
    <r>
      <rPr>
        <b/>
        <sz val="10"/>
        <color theme="1"/>
        <rFont val="Arial"/>
        <family val="2"/>
      </rPr>
      <t xml:space="preserve">
• </t>
    </r>
    <r>
      <rPr>
        <sz val="10"/>
        <color theme="1"/>
        <rFont val="Arial"/>
        <family val="2"/>
      </rPr>
      <t>Income support for entrepreneurs and self-employed (administered at municipal and regional level) for a period of three months through expedited procedures.</t>
    </r>
    <r>
      <rPr>
        <b/>
        <sz val="10"/>
        <color theme="1"/>
        <rFont val="Arial"/>
        <family val="2"/>
      </rPr>
      <t xml:space="preserve">
• </t>
    </r>
    <r>
      <rPr>
        <sz val="10"/>
        <color theme="1"/>
        <rFont val="Arial"/>
        <family val="2"/>
      </rPr>
      <t>Support for start-ups and small innovation companies through loans provided by government regional agencies.</t>
    </r>
    <r>
      <rPr>
        <b/>
        <sz val="10"/>
        <color theme="1"/>
        <rFont val="Arial"/>
        <family val="2"/>
      </rPr>
      <t xml:space="preserve"> 
• </t>
    </r>
    <r>
      <rPr>
        <sz val="10"/>
        <color theme="1"/>
        <rFont val="Arial"/>
        <family val="2"/>
      </rPr>
      <t>Scaling up of the short-time working scheme (unemployment benefit compensation available to companies needing to reduce their staff by at least 20 percent).</t>
    </r>
    <r>
      <rPr>
        <b/>
        <sz val="10"/>
        <color theme="1"/>
        <rFont val="Arial"/>
        <family val="2"/>
      </rPr>
      <t xml:space="preserve"> 
• </t>
    </r>
    <r>
      <rPr>
        <sz val="10"/>
        <color theme="1"/>
        <rFont val="Arial"/>
        <family val="2"/>
      </rPr>
      <t>Allowances for SMEs affected by the outbreak to help them finance thier fixed costs.</t>
    </r>
    <r>
      <rPr>
        <b/>
        <sz val="10"/>
        <color theme="1"/>
        <rFont val="Arial"/>
        <family val="2"/>
      </rPr>
      <t xml:space="preserve">
Forgone revenue:
• </t>
    </r>
    <r>
      <rPr>
        <sz val="10"/>
        <color theme="1"/>
        <rFont val="Arial"/>
        <family val="2"/>
      </rPr>
      <t>Reduction of tourist taxes and taxes in the culture sector</t>
    </r>
    <r>
      <rPr>
        <b/>
        <sz val="10"/>
        <color theme="1"/>
        <rFont val="Arial"/>
        <family val="2"/>
      </rPr>
      <t xml:space="preserve">.
• </t>
    </r>
    <r>
      <rPr>
        <sz val="10"/>
        <color theme="1"/>
        <rFont val="Arial"/>
        <family val="2"/>
      </rPr>
      <t xml:space="preserve">The interest rate on tax deferrals is reduced from 4% to just above 0%. </t>
    </r>
  </si>
  <si>
    <r>
      <rPr>
        <b/>
        <sz val="10"/>
        <color theme="1"/>
        <rFont val="Arial"/>
        <family val="2"/>
      </rPr>
      <t>Deferred revenue</t>
    </r>
    <r>
      <rPr>
        <sz val="10"/>
        <color theme="1"/>
        <rFont val="Arial"/>
        <family val="2"/>
      </rPr>
      <t>: Tax deferrals for companies that are in financial distress due to the covid-19 crisis. Temporary suspension of penalties for late tax payments. Entrepreneurs can request  a deferral of tax payment, without the need to provide evidence. Businesses can calculate provisional tax payments on an expected (reduced) basis.</t>
    </r>
  </si>
  <si>
    <r>
      <t xml:space="preserve">Additional spending: 
</t>
    </r>
    <r>
      <rPr>
        <b/>
        <sz val="10"/>
        <color theme="1"/>
        <rFont val="Symbol"/>
        <family val="1"/>
        <charset val="2"/>
      </rPr>
      <t>·</t>
    </r>
    <r>
      <rPr>
        <b/>
        <sz val="10"/>
        <color theme="1"/>
        <rFont val="Arial"/>
        <family val="2"/>
      </rPr>
      <t xml:space="preserve"> </t>
    </r>
    <r>
      <rPr>
        <sz val="10"/>
        <color theme="1"/>
        <rFont val="Arial"/>
        <family val="2"/>
      </rPr>
      <t>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t>
    </r>
    <r>
      <rPr>
        <b/>
        <sz val="10"/>
        <color theme="1"/>
        <rFont val="Arial"/>
        <family val="2"/>
      </rPr>
      <t xml:space="preserve">
</t>
    </r>
    <r>
      <rPr>
        <b/>
        <sz val="10"/>
        <color theme="1"/>
        <rFont val="Symbol"/>
        <family val="1"/>
        <charset val="2"/>
      </rPr>
      <t>·</t>
    </r>
    <r>
      <rPr>
        <b/>
        <sz val="10"/>
        <color theme="1"/>
        <rFont val="Arial"/>
        <family val="2"/>
      </rPr>
      <t xml:space="preserve"> </t>
    </r>
    <r>
      <rPr>
        <sz val="10"/>
        <color theme="1"/>
        <rFont val="Arial"/>
        <family val="2"/>
      </rPr>
      <t>Stimulus package to the tourism sector amounting to THB 22.4 billion including subsidies for 5 million domestic trips between July and October, 2020 (40 percent of certain accommodation, event and food costs).</t>
    </r>
    <r>
      <rPr>
        <b/>
        <sz val="10"/>
        <color theme="1"/>
        <rFont val="Arial"/>
        <family val="2"/>
      </rPr>
      <t xml:space="preserve">
</t>
    </r>
    <r>
      <rPr>
        <b/>
        <sz val="10"/>
        <color theme="1"/>
        <rFont val="Symbol"/>
        <family val="1"/>
        <charset val="2"/>
      </rPr>
      <t>·</t>
    </r>
    <r>
      <rPr>
        <b/>
        <sz val="10"/>
        <color theme="1"/>
        <rFont val="Arial"/>
        <family val="2"/>
      </rPr>
      <t xml:space="preserve"> </t>
    </r>
    <r>
      <rPr>
        <sz val="10"/>
        <color theme="1"/>
        <rFont val="Arial"/>
        <family val="2"/>
      </rPr>
      <t>Transfers to elderly, children up to 6-years-old, and holders of state-welfare cards that had previously not received assistance linked to the impact of Covid-19. This program covers about 6.8 million people with approximate cost of THB 20 billion.</t>
    </r>
    <r>
      <rPr>
        <b/>
        <sz val="10"/>
        <color theme="1"/>
        <rFont val="Arial"/>
        <family val="2"/>
      </rPr>
      <t xml:space="preserve">
Forgone revenue:
</t>
    </r>
    <r>
      <rPr>
        <b/>
        <sz val="10"/>
        <color theme="1"/>
        <rFont val="Symbol"/>
        <family val="1"/>
        <charset val="2"/>
      </rPr>
      <t>·</t>
    </r>
    <r>
      <rPr>
        <b/>
        <sz val="10"/>
        <color theme="1"/>
        <rFont val="Arial"/>
        <family val="2"/>
      </rPr>
      <t xml:space="preserve"> </t>
    </r>
    <r>
      <rPr>
        <sz val="10"/>
        <color theme="1"/>
        <rFont val="Arial"/>
        <family val="2"/>
      </rPr>
      <t>41 billion baht in 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400,000 baht limit (form 200,000) for tax deduction of investments in the Super Saving Fund.</t>
    </r>
    <r>
      <rPr>
        <b/>
        <sz val="10"/>
        <color theme="1"/>
        <rFont val="Arial"/>
        <family val="2"/>
      </rPr>
      <t xml:space="preserve">
</t>
    </r>
    <r>
      <rPr>
        <b/>
        <sz val="10"/>
        <color theme="1"/>
        <rFont val="Symbol"/>
        <family val="1"/>
        <charset val="2"/>
      </rPr>
      <t>·</t>
    </r>
    <r>
      <rPr>
        <b/>
        <sz val="10"/>
        <color theme="1"/>
        <rFont val="Arial"/>
        <family val="2"/>
      </rPr>
      <t xml:space="preserve"> </t>
    </r>
    <r>
      <rPr>
        <sz val="10"/>
        <color theme="1"/>
        <rFont val="Arial"/>
        <family val="2"/>
      </rPr>
      <t>Tax relief including for i) for personal income tax deduction for health insurance premium; ii) import duties for products preventing related to prevention or treatment of Covid-19 exempted until September 2020; iii) from January 2020 to December 31, 2021 taxes are exempted and fees are cut for debt restructuring with non-financial creditors; iv) reduction in excise tax on jet fuel for domestic flights; reduced witholding tax.</t>
    </r>
  </si>
  <si>
    <r>
      <rPr>
        <b/>
        <sz val="10"/>
        <color theme="1"/>
        <rFont val="Arial"/>
        <family val="2"/>
      </rPr>
      <t>Deferred revenue</t>
    </r>
    <r>
      <rPr>
        <sz val="10"/>
        <color theme="1"/>
        <rFont val="Arial"/>
        <family val="2"/>
      </rPr>
      <t xml:space="preserve">: Tax relief for businesses: (i) corporate income tax deadline extended to August and September; (ii) one month extension of deadline for filing and payment of VAT, Special Business Tax, and other taxes under the Revenue Department; (iii) Filing of excise tax extended to May and payment to July; (iv) Filing of excise tax by petroleum product operators extended to the 15th of the following month for 3 months.
</t>
    </r>
    <r>
      <rPr>
        <sz val="10"/>
        <color theme="1"/>
        <rFont val="Symbol"/>
        <family val="1"/>
        <charset val="2"/>
      </rPr>
      <t xml:space="preserve">· </t>
    </r>
    <r>
      <rPr>
        <sz val="10"/>
        <color theme="1"/>
        <rFont val="Arial"/>
        <family val="2"/>
      </rPr>
      <t xml:space="preserve">Expedited VAT refund process for exporters. 
</t>
    </r>
    <r>
      <rPr>
        <sz val="10"/>
        <color theme="1"/>
        <rFont val="Symbol"/>
        <family val="1"/>
        <charset val="2"/>
      </rPr>
      <t>·</t>
    </r>
    <r>
      <rPr>
        <sz val="10"/>
        <color theme="1"/>
        <rFont val="Arial"/>
        <family val="2"/>
      </rPr>
      <t xml:space="preserve"> Delay in collection of fees and charges levied by government agencies and SOEs.</t>
    </r>
  </si>
  <si>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r>
      <rPr>
        <sz val="10"/>
        <color theme="1"/>
        <rFont val="Symbol"/>
        <family val="1"/>
        <charset val="2"/>
      </rPr>
      <t>·</t>
    </r>
    <r>
      <rPr>
        <sz val="10"/>
        <color theme="1"/>
        <rFont val="Arial"/>
        <family val="2"/>
      </rPr>
      <t xml:space="preserve">THB 100 billion announced but not yet approved in soft loans from the Government Saving Bank for SMEs in the tourism sector.
</t>
    </r>
  </si>
  <si>
    <r>
      <rPr>
        <b/>
        <sz val="10"/>
        <rFont val="Arial"/>
        <family val="2"/>
      </rPr>
      <t xml:space="preserve">Additional spending: 
</t>
    </r>
    <r>
      <rPr>
        <sz val="10"/>
        <rFont val="Arial"/>
        <family val="2"/>
      </rPr>
      <t xml:space="preserve">• Raising minimum pension and cash assistance to families in need.
• Increasing employment protection by loosening short-term work allowance rules.On June 30, the short-work allowance and ban on layoffs was extended by one month.
• Subsidies to firms for workers placed on unpaid leave and for workers' salaries in affected firms.
• Subsidies to firms for workers' salaries in firms affected by Covid-19. 
• Cash transfers to vulnerable households. 
</t>
    </r>
    <r>
      <rPr>
        <b/>
        <sz val="10"/>
        <rFont val="Arial"/>
        <family val="2"/>
      </rPr>
      <t xml:space="preserve">
Forgone revenue: 
</t>
    </r>
    <r>
      <rPr>
        <sz val="10"/>
        <rFont val="Arial"/>
        <family val="2"/>
      </rPr>
      <t xml:space="preserve">• Reduced taxes for affected industries (particularly tourism): hotel accommodation tax will be suspended until November;
• VAT rate on internal travel reduced from 18% to 1%.
</t>
    </r>
  </si>
  <si>
    <t>• Covid-19 treatment, new hospitals, and performance pay for medics.</t>
  </si>
  <si>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•Tax deferrals for the self-employed, farmers, tailors, grocers, lawyers, financial advisers, architects, engineers, doctors, and dentists. 
• Tax deferrals for over 65s or those with chronic illnesses.
• Postponed payments regarding withholding tax returns and VAT declarations
• Payment of Social Security Contribution premiums has also been postponed.  
• Land occupation and revenue sharing payments in leasing of hotels postponed for 6 months.
• Accommodation tax deferred.
• Retail, shopping malls, iron-steel, automobiles, logistics-transportation, etc. are offered to postpone VAT and Social Security Contribution. 
</t>
    </r>
  </si>
  <si>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
• On June 1, public deposit banks (Ziraat Bank, Halkbank and Vakifbank) launched new retail loan campaigns for house purchases and consumer spending.</t>
  </si>
  <si>
    <r>
      <rPr>
        <b/>
        <sz val="10"/>
        <rFont val="Arial"/>
        <family val="2"/>
      </rPr>
      <t xml:space="preserve">Additional spending: 
</t>
    </r>
    <r>
      <rPr>
        <sz val="10"/>
        <rFont val="Arial"/>
        <family val="2"/>
      </rPr>
      <t xml:space="preserve">• At the Commonwealth level, tax-free cash payments and wage subsidies to eligible small businesses to continue operations and keep their workers; payments to lower-income Australians, including pensioners, other social security and veteran income support recipients, and eligible concession card holders; the Home Builder program.
• At state and territory level, discounted utility bills and cash payments to vulnerable households. Also, the Commonwealth government will help finance fast-track infrastructure projects across States and Territories and the arts industry for job creation and new home care package for senior citizens.
</t>
    </r>
    <r>
      <rPr>
        <b/>
        <sz val="10"/>
        <rFont val="Arial"/>
        <family val="2"/>
      </rPr>
      <t xml:space="preserve">Forgone revenue: 
</t>
    </r>
    <r>
      <rPr>
        <sz val="10"/>
        <rFont val="Arial"/>
        <family val="2"/>
      </rPr>
      <t>• At the Commonwealth level, asset write-off; accelerated depreciation deductions; tax relief for airlines and airports; waiver of fees and charges for tourism businesses in most affected regions/communities.
• At state and territory level, payroll tax relief for firms.</t>
    </r>
  </si>
  <si>
    <r>
      <t>Additional spending (CAD 19.8 bn):
•</t>
    </r>
    <r>
      <rPr>
        <sz val="10"/>
        <color theme="1"/>
        <rFont val="Arial"/>
        <family val="2"/>
      </rPr>
      <t xml:space="preserve"> Support to the health system including 1) immediate public health response, 2) COVID-19 Response Fund, and 3) funding for personal protective equipment and supplies. 
• Reducing import costs to facilitate access to critical medical goods
• Health and social support northern communities.
• COVID-19 Medical Research and Vaccine Development.
• Virtual care and mental health tools.
</t>
    </r>
    <r>
      <rPr>
        <b/>
        <sz val="10"/>
        <color theme="1"/>
        <rFont val="Arial"/>
        <family val="2"/>
      </rPr>
      <t xml:space="preserve">• </t>
    </r>
    <r>
      <rPr>
        <sz val="10"/>
        <color theme="1"/>
        <rFont val="Arial"/>
        <family val="2"/>
      </rPr>
      <t>Enhancing public health measures in indigenous communities.</t>
    </r>
    <r>
      <rPr>
        <b/>
        <sz val="10"/>
        <color theme="1"/>
        <rFont val="Arial"/>
        <family val="2"/>
      </rPr>
      <t xml:space="preserve">
•</t>
    </r>
    <r>
      <rPr>
        <sz val="10"/>
        <color theme="1"/>
        <rFont val="Arial"/>
        <family val="2"/>
      </rPr>
      <t xml:space="preserve"> Provincial Safe Restart Agreement.</t>
    </r>
  </si>
  <si>
    <r>
      <rPr>
        <b/>
        <sz val="10"/>
        <color theme="1"/>
        <rFont val="Arial"/>
        <family val="2"/>
      </rPr>
      <t xml:space="preserve">Additional spending (€427.8 bn): </t>
    </r>
    <r>
      <rPr>
        <sz val="10"/>
        <color theme="1"/>
        <rFont val="Arial"/>
        <family val="2"/>
      </rPr>
      <t xml:space="preserve">
• The European Commission announced that the size of the Corona Response Investment Initiative will be raised to €37 bn, to support public investment for hospitals, labor markets, and stressed regions</t>
    </r>
    <r>
      <rPr>
        <sz val="10"/>
        <color rgb="FFFF0000"/>
        <rFont val="Arial"/>
        <family val="2"/>
      </rPr>
      <t>.</t>
    </r>
    <r>
      <rPr>
        <sz val="10"/>
        <color theme="1"/>
        <rFont val="Arial"/>
        <family val="2"/>
      </rPr>
      <t xml:space="preserve">
• The Commission proposed to extend the scope of the EU Solidarity Fund by also including a public health crisis within its scope, in view of mobilizing it if needed for the hardest hit EU member states. Up to €0.8 bn is available in 2020. 
• In the Coronavirus Response Investment Initiative Plus (CRII+), the Commission introduced greater flexibility to allow that all non-utilized support from the European Structural and Investment Funds can be mobilized to the fullest.
• On July 21, the European Council agreed on the Next Generation EU recovery fund, which includes €390 bn in grants to EU members to support recovery. The main instrument is the Recovery and Resilience Facility (RRF) that will finance investments and reforms countries submit in fall 2020. </t>
    </r>
  </si>
  <si>
    <r>
      <rPr>
        <b/>
        <sz val="10"/>
        <color theme="1"/>
        <rFont val="Arial"/>
        <family val="2"/>
      </rPr>
      <t xml:space="preserve">Additional spending ($1599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$268 bn unemployment insurance and $440 bn in emergency appropriations, and $349 bn forgivable small business loans and other items. Estimated increase in spending from this Act is $1175.7bn.
• Paycheck Protection Program and Health Care Enhancement Act (April 23, 2020) includes $62.1 bn for the Small Business Administration's loan programs and other expense, and $321 bn for the Paycheck Protection Program.
</t>
    </r>
    <r>
      <rPr>
        <b/>
        <sz val="10"/>
        <color theme="1"/>
        <rFont val="Arial"/>
        <family val="2"/>
      </rPr>
      <t xml:space="preserve">Forgone revenue ($528 bn): </t>
    </r>
    <r>
      <rPr>
        <sz val="10"/>
        <color theme="1"/>
        <rFont val="Arial"/>
        <family val="2"/>
      </rPr>
      <t xml:space="preserve">
• Coronavirus Aid, Relief, and Economic Security Act (March 27, 2020) includes tax rebates: $1,200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$434 bn.
• Families First Coronavirus Response Act (March 16, 2020) has revenue implications on the budget, estimated to cost around $94 bn.</t>
    </r>
  </si>
  <si>
    <r>
      <rPr>
        <b/>
        <sz val="10"/>
        <color theme="1"/>
        <rFont val="Arial"/>
        <family val="2"/>
      </rPr>
      <t xml:space="preserve">Additional spending (BRL 424.8 bn):
</t>
    </r>
    <r>
      <rPr>
        <sz val="10"/>
        <color theme="1"/>
        <rFont val="Arial"/>
        <family val="2"/>
      </rPr>
      <t>• Targeted assistance for the elderly, poor, and unemployed, including (i) expanding the cash transfer program Bolsa Família to accommodate 1.2 million new beneficiaries; (ii) introducing a new “Covid-19” voucher payment of BRL600 a month (USD40) to 54 million poor families for three months, which is expected to be expanded by two more months; (iii) allowing temporary suspension of private sector employees or their working hours (and wages), with a government-paid income compensation proportional to the unemployment benefit entitlement; and (iv) providing electricity consumption subsidies for poor families. 
• The Federal Government is also providing transfers to subnational governments to cover social assistance costs, as well as revenue loss.</t>
    </r>
    <r>
      <rPr>
        <b/>
        <sz val="10"/>
        <color theme="1"/>
        <rFont val="Arial"/>
        <family val="2"/>
      </rPr>
      <t xml:space="preserve">
Forgone revenue (BRL 14 bn): 
</t>
    </r>
    <r>
      <rPr>
        <sz val="10"/>
        <color theme="1"/>
        <rFont val="Arial"/>
        <family val="2"/>
      </rPr>
      <t>• Elimination of the financial transactions tax for 6 months.</t>
    </r>
  </si>
  <si>
    <t>Austria</t>
  </si>
  <si>
    <t>Cyprus</t>
  </si>
  <si>
    <t>Estonia</t>
  </si>
  <si>
    <t>Greece</t>
  </si>
  <si>
    <t>Iceland</t>
  </si>
  <si>
    <t>Ireland</t>
  </si>
  <si>
    <t>Israel</t>
  </si>
  <si>
    <t>Latvia</t>
  </si>
  <si>
    <t>Lithuania</t>
  </si>
  <si>
    <t>Luxembourg</t>
  </si>
  <si>
    <t>Macao SAR</t>
  </si>
  <si>
    <t>Malta</t>
  </si>
  <si>
    <t>Portugal</t>
  </si>
  <si>
    <t>San Marino</t>
  </si>
  <si>
    <t>Slovak Republic</t>
  </si>
  <si>
    <t>Slovenia</t>
  </si>
  <si>
    <t>Algeria</t>
  </si>
  <si>
    <t>Angola</t>
  </si>
  <si>
    <t>Anguilla</t>
  </si>
  <si>
    <t>Antigua and Barbuda</t>
  </si>
  <si>
    <t>Armenia</t>
  </si>
  <si>
    <t>Aruba</t>
  </si>
  <si>
    <t>Azerbaijan</t>
  </si>
  <si>
    <t>Bahamas, The</t>
  </si>
  <si>
    <t>Barbados</t>
  </si>
  <si>
    <t>Belarus</t>
  </si>
  <si>
    <t>Belize</t>
  </si>
  <si>
    <t>Bolivia</t>
  </si>
  <si>
    <t>Bosnia and Herzegovina</t>
  </si>
  <si>
    <t>Botswana</t>
  </si>
  <si>
    <t>Brunei Darussalam</t>
  </si>
  <si>
    <t>Cabo Verde</t>
  </si>
  <si>
    <t>Costa Rica</t>
  </si>
  <si>
    <t>Croatia</t>
  </si>
  <si>
    <t>Dominica</t>
  </si>
  <si>
    <t>Dominican Republic</t>
  </si>
  <si>
    <t>Ecuador</t>
  </si>
  <si>
    <t>El Salvador</t>
  </si>
  <si>
    <t>Equatorial Guinea</t>
  </si>
  <si>
    <t>Eswatini</t>
  </si>
  <si>
    <t>Fiji</t>
  </si>
  <si>
    <t>Gabon</t>
  </si>
  <si>
    <t>Grenada</t>
  </si>
  <si>
    <t>Guatemala</t>
  </si>
  <si>
    <t>Guyana</t>
  </si>
  <si>
    <t>Iraq</t>
  </si>
  <si>
    <t>Jamaica</t>
  </si>
  <si>
    <t>Jordan</t>
  </si>
  <si>
    <t>Kuwait</t>
  </si>
  <si>
    <t>Lebanon</t>
  </si>
  <si>
    <t>Libya</t>
  </si>
  <si>
    <t>Maldives</t>
  </si>
  <si>
    <t>Micronesia, Fed. States of</t>
  </si>
  <si>
    <t>Montenegro, Rep. of</t>
  </si>
  <si>
    <t>Montserrat</t>
  </si>
  <si>
    <t>Morocco</t>
  </si>
  <si>
    <t>Namibia</t>
  </si>
  <si>
    <t>Nauru</t>
  </si>
  <si>
    <t xml:space="preserve">North Macedonia </t>
  </si>
  <si>
    <t>Oman</t>
  </si>
  <si>
    <t>Palau</t>
  </si>
  <si>
    <t>Panama</t>
  </si>
  <si>
    <t>Paraguay</t>
  </si>
  <si>
    <t>Qatar</t>
  </si>
  <si>
    <t>Samoa</t>
  </si>
  <si>
    <t>Seychelles</t>
  </si>
  <si>
    <t>Sri Lanka</t>
  </si>
  <si>
    <t>St. Kitts and Nevis</t>
  </si>
  <si>
    <t>St. Lucia</t>
  </si>
  <si>
    <t>St. Vincent and the Grenadines</t>
  </si>
  <si>
    <t>Tonga</t>
  </si>
  <si>
    <t>Trinidad and Tobago</t>
  </si>
  <si>
    <t>Turkmenistan</t>
  </si>
  <si>
    <t>Ukraine</t>
  </si>
  <si>
    <t>Uruguay</t>
  </si>
  <si>
    <t>Vanuatu</t>
  </si>
  <si>
    <t>Afghanistan</t>
  </si>
  <si>
    <t>Benin</t>
  </si>
  <si>
    <t>Bhutan</t>
  </si>
  <si>
    <t>Burkina Faso</t>
  </si>
  <si>
    <t>Burundi</t>
  </si>
  <si>
    <t>Cambodia</t>
  </si>
  <si>
    <t>Cameroon</t>
  </si>
  <si>
    <t>Central African Republic</t>
  </si>
  <si>
    <t>Chad</t>
  </si>
  <si>
    <t>Comoros</t>
  </si>
  <si>
    <t>Democratic Republic of the Congo</t>
  </si>
  <si>
    <t>Congo, Republic of</t>
  </si>
  <si>
    <t>Djibouti</t>
  </si>
  <si>
    <t>Eritrea</t>
  </si>
  <si>
    <t>Gambia, The</t>
  </si>
  <si>
    <t>Guinea</t>
  </si>
  <si>
    <t>Haiti</t>
  </si>
  <si>
    <t>Kiribati</t>
  </si>
  <si>
    <t>Kyrgyz Republic</t>
  </si>
  <si>
    <t>Lao P.D.R.</t>
  </si>
  <si>
    <t>Lesotho</t>
  </si>
  <si>
    <t>Liberia</t>
  </si>
  <si>
    <t>Malawi</t>
  </si>
  <si>
    <t>Mali</t>
  </si>
  <si>
    <t>Mauritania</t>
  </si>
  <si>
    <t>Moldova</t>
  </si>
  <si>
    <t>Mozambique</t>
  </si>
  <si>
    <t>Nicaragua</t>
  </si>
  <si>
    <t>Papua New Guinea</t>
  </si>
  <si>
    <t>Rwanda</t>
  </si>
  <si>
    <t>São Tomé and Príncipe</t>
  </si>
  <si>
    <t>Sierra Leone</t>
  </si>
  <si>
    <t>Solomon Islands</t>
  </si>
  <si>
    <t>Somalia</t>
  </si>
  <si>
    <t>South Sudan</t>
  </si>
  <si>
    <t>Sudan</t>
  </si>
  <si>
    <t>Tajikistan</t>
  </si>
  <si>
    <t>Tanzania</t>
  </si>
  <si>
    <t>Timor-Leste, Dem. Rep. of</t>
  </si>
  <si>
    <t>Togo</t>
  </si>
  <si>
    <t>Uganda</t>
  </si>
  <si>
    <t>Yemen</t>
  </si>
  <si>
    <t>Zimbabwe</t>
  </si>
  <si>
    <t>Global</t>
  </si>
  <si>
    <t>No change.</t>
  </si>
  <si>
    <t>Added new information (description) for forgone revenue measures.</t>
  </si>
  <si>
    <t>Small changes to the description of measures (total amounts remain unchanged).</t>
  </si>
  <si>
    <t>Minor change to total package amount.</t>
  </si>
  <si>
    <r>
      <t xml:space="preserve">Additional spending: </t>
    </r>
    <r>
      <rPr>
        <sz val="10"/>
        <rFont val="Arial"/>
        <family val="2"/>
      </rPr>
      <t xml:space="preserve"> including lump sum 12-week wage subsidies available for all employers significantly affected by COVID-19 (NZ $14.9 bn); income relief payment to support people who have lost their job (NZ$570 million); financial support for workers not paid normally during self-isolation (NZ $126 mn); temporary increase in winter energy payment (NZ $480 mn); permanent increase in benefits (NZ$2.4 bn in the next four years); infrastructure investment (NZ$3 billion); support package for the aviation sector (NZ$ 600 mn); and tourism recover package (NZ$400 million). NZ$14 billion will be set aside for the second wave.
</t>
    </r>
    <r>
      <rPr>
        <b/>
        <sz val="10"/>
        <rFont val="Arial"/>
        <family val="2"/>
      </rPr>
      <t>Forgone revenue</t>
    </r>
    <r>
      <rPr>
        <sz val="10"/>
        <rFont val="Arial"/>
        <family val="2"/>
      </rPr>
      <t>: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</si>
  <si>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will lasted April to June.
</t>
    </r>
    <r>
      <rPr>
        <sz val="10"/>
        <rFont val="Symbol"/>
        <family val="1"/>
        <charset val="2"/>
      </rPr>
      <t>·</t>
    </r>
    <r>
      <rPr>
        <sz val="10"/>
        <rFont val="Arial"/>
        <family val="2"/>
      </rPr>
      <t xml:space="preserve"> One-off transfer of Lk40,000 to affected people (in tourism, active processing and employees of small businesses not included in the first package, including employees of large businesses that have been laid off due to the pandemic.
</t>
    </r>
    <r>
      <rPr>
        <b/>
        <sz val="10"/>
        <rFont val="Arial"/>
        <family val="2"/>
      </rPr>
      <t xml:space="preserve">
Foregone revenue:
</t>
    </r>
    <r>
      <rPr>
        <b/>
        <sz val="10"/>
        <rFont val="Symbol"/>
        <family val="1"/>
        <charset val="2"/>
      </rPr>
      <t>·</t>
    </r>
    <r>
      <rPr>
        <b/>
        <sz val="10"/>
        <rFont val="Arial"/>
        <family val="2"/>
      </rPr>
      <t xml:space="preserve"> </t>
    </r>
    <r>
      <rPr>
        <sz val="10"/>
        <rFont val="Arial"/>
        <family val="2"/>
      </rPr>
      <t>Small businesses (those below an annual turnover threshold of Lk14 million) will not pay profit tax in 2020 (normative act April 23). Estimated amount Lk81 mn.</t>
    </r>
  </si>
  <si>
    <r>
      <rPr>
        <b/>
        <sz val="10"/>
        <color theme="1"/>
        <rFont val="Arial"/>
        <family val="2"/>
      </rPr>
      <t>Additional spending</t>
    </r>
    <r>
      <rPr>
        <sz val="10"/>
        <color theme="1"/>
        <rFont val="Arial"/>
        <family val="2"/>
      </rPr>
      <t xml:space="preserve">: Paying 75 percent of the gross wage to employees of companies facing difficulties (RON4 billion); paying 75 percent of gross wage to affected self-employed and individual enterprises (RON1.8 billion); covering partially the wages of parents staying home when schools are closed (RON1.5 billion); Reserve Fund (3 billion RON); continue to pay technical unemployment benefits to those returning to work of up to 41% of base wage (for 3 months); and quarantine days are treated as paid sick leave. 
</t>
    </r>
    <r>
      <rPr>
        <b/>
        <sz val="10"/>
        <color theme="1"/>
        <rFont val="Arial"/>
        <family val="2"/>
      </rPr>
      <t xml:space="preserve">
Forgone revenue:</t>
    </r>
    <r>
      <rPr>
        <sz val="10"/>
        <color theme="1"/>
        <rFont val="Arial"/>
        <family val="2"/>
      </rPr>
      <t xml:space="preserve"> 5 to 10 percent discount for corporate income tax payments.</t>
    </r>
    <r>
      <rPr>
        <sz val="10"/>
        <color theme="1"/>
        <rFont val="Symbol"/>
        <family val="1"/>
        <charset val="2"/>
      </rPr>
      <t xml:space="preserve">
</t>
    </r>
  </si>
  <si>
    <t>• RON1.1 billion loan to buy medical supplies granted to pharmaceutical SOE;  and RON0.6 billion loan to low-cost carrier Blue Air and state-owned airline Tarom.</t>
  </si>
  <si>
    <r>
      <rPr>
        <sz val="10"/>
        <color theme="1"/>
        <rFont val="Symbol"/>
        <family val="1"/>
        <charset val="2"/>
      </rPr>
      <t>·</t>
    </r>
    <r>
      <rPr>
        <sz val="10"/>
        <color theme="1"/>
        <rFont val="Arial"/>
        <family val="2"/>
      </rPr>
      <t xml:space="preserve"> Government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r>
      <rPr>
        <sz val="10"/>
        <color theme="1"/>
        <rFont val="Symbol"/>
        <family val="1"/>
        <charset val="2"/>
      </rPr>
      <t>·</t>
    </r>
    <r>
      <rPr>
        <sz val="10"/>
        <color theme="1"/>
        <rFont val="Arial"/>
        <family val="2"/>
      </rPr>
      <t xml:space="preserve"> State guarantees for leasing of work equipment for SMEs. The guarantee is up to 80% loan for IT equipment, and 60% for other technological equipment.  The maximum value of the financing will be 5,000,000 RON. The leasing period will be 72 months.</t>
    </r>
  </si>
  <si>
    <r>
      <rPr>
        <b/>
        <sz val="10"/>
        <rFont val="Arial"/>
        <family val="2"/>
      </rPr>
      <t xml:space="preserve">Additional spending (130.6 bn):
• </t>
    </r>
    <r>
      <rPr>
        <sz val="10"/>
        <rFont val="Arial"/>
        <family val="2"/>
      </rPr>
      <t>Compensation for the cancellation and postponement of major events due to COVID-19 (DKK 2.4 bn).
• Temporary salary compensation between 75% and 90% of workers salaries (DKK 6.2 bn), income compensation for the freelancers and self-employed (DKK 14.1 bn) and for companies’ fixed costs (DKK 65.3 bn).
• Sickness benefit reimbursement (DKK 1.7 bn), and increased access to unemployment and sickness benefits (DKK 0.3 bn). 
• Boosting liquidity and facilitating the advancement and completion of various construction projects in the Danish municipalities and regions (DKK 2.5 bn)
• Other initiatives (about DKK 2 bn)
• Extension of initial fiscal measures until July 8. Thus, providing an additional DKK 30.7 billion in fiscal support.Self-employment compensation scheme - extension to 8/8 (DKK 0.5 bn)
• UI benefits expanded eligibility (DKK 0.4 bn)
• Extension of cultural aid packages to 8/8 (DKK 0.1 bn)
• One-time grants to low-income families (DKK 1.8 bn)
• Increase in corporate deductions for R&amp;D (DKK 1.3 bn)
• Support for tourism sector (DKK 0.8 bn)
• Export package (DKK 0.5 bn)</t>
    </r>
  </si>
  <si>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A-taxes (withholding tax) and labor market contributions (DKK 90 billion)
The payment deadline for VAT for businesses that pay VAT on a monthly basis is postponed (DKK 35 billion)
• Small enterprises’ VAT period will be extended from 6 months to 12 months in 2020, while medium-sized enterprises’ VAT periods will be extended from 3 months to 6 months for the first half of 2020 (DKK 35 billion)
• Temporary postponement of payment deadlines for B-taxes (provisional tax paid by self-employed businessmen) (DKK 5 billion)
• Temporary postponement of payment deadlines for payroll tax for certain businesses. (DKK 0.4 billion)
•Further extension of payment deadlines for a-tax and VAT (DKK 9 billion)</t>
    </r>
  </si>
  <si>
    <r>
      <t>• Increase the Danish Students’ Loan Scheme (DKK 1.5 billion). 
• Interest free loans based on VAT payments and payroll tax payments (DKK 35 billion). 
•</t>
    </r>
    <r>
      <rPr>
        <sz val="10"/>
        <color theme="1"/>
        <rFont val="Arial"/>
        <family val="1"/>
        <charset val="2"/>
      </rPr>
      <t>• Loans and equity to start-ups and high growth enterprises (less than DKK 3.4 billion)</t>
    </r>
    <r>
      <rPr>
        <sz val="10"/>
        <color theme="1"/>
        <rFont val="Arial"/>
        <family val="2"/>
      </rPr>
      <t xml:space="preserve"> State capital injection into Recapitalization Fund (DKK 10 bn)
• State capital injection into Restart Fund (administered by the Growth Fund) (DKK 3 bn)
• Plan to recapitalize Scandinavian Airlines (up to DKK 6 bn)</t>
    </r>
  </si>
  <si>
    <t>• The government will guarantee 70% of the value of new loans to 1) large companies that can demonstrate a fall in turnover over more than 30 percent and 2) SMEs that have seen operating profits fall by more than 30 percent. 
• Credit guarantee for Scandinavian Airlines (SAS).
• Increased access to export credit for SMEs. 
• Strengthening the Travel Guarantee Fund.</t>
  </si>
  <si>
    <r>
      <rPr>
        <b/>
        <sz val="10"/>
        <color theme="1"/>
        <rFont val="Arial"/>
        <family val="2"/>
      </rPr>
      <t>Additional spending:</t>
    </r>
    <r>
      <rPr>
        <sz val="10"/>
        <color theme="1"/>
        <rFont val="Arial"/>
        <family val="2"/>
      </rPr>
      <t xml:space="preserve"> includes SEK 1 bn to the Public Health Agency to increase testing for Covid-19; 10,000 persons will be able to undergo training in health and social care fourth quarter if they study half-time, expanded adult vocational training focusing on health and social care. The National Board of Health and Welfare’s credit framework has increased to enable purchases of personal protective equipment and intensive care equipment. Funding of extraordinary costs associated with Covid-19 for municipalities and regions</t>
    </r>
  </si>
  <si>
    <r>
      <rPr>
        <b/>
        <sz val="10"/>
        <color theme="1"/>
        <rFont val="Arial"/>
        <family val="2"/>
      </rPr>
      <t>Additional spending (SEK 217.5 bn):  
·</t>
    </r>
    <r>
      <rPr>
        <sz val="10"/>
        <color theme="1"/>
        <rFont val="Arial"/>
        <family val="2"/>
      </rPr>
      <t xml:space="preserve"> Includes additional expenditures on wage subsidies for short-term leave, temporary payment of sick leave, more funding to the media, cultural and sports sectors and for education and training, rent subsidies to certain sectors, more generous unemployment benefits, expanded active labor market policies, temporary grants to businesses based on their loss of turnover to cover their fixed costs; supplementary housing allowances to families with children, infrastructure investment, extra support to public transport, measures to prevent Covid-19 fraud, general grants to municipalities and regions</t>
    </r>
    <r>
      <rPr>
        <b/>
        <sz val="10"/>
        <color theme="1"/>
        <rFont val="Arial"/>
        <family val="2"/>
      </rPr>
      <t xml:space="preserve">
Forgone revenue (SEK 33 bn): </t>
    </r>
    <r>
      <rPr>
        <sz val="10"/>
        <color theme="1"/>
        <rFont val="Arial"/>
        <family val="2"/>
      </rPr>
      <t xml:space="preserve">Temporary reduction in employers' social security contributions. </t>
    </r>
  </si>
  <si>
    <r>
      <t xml:space="preserve">Deferred revenues: </t>
    </r>
    <r>
      <rPr>
        <sz val="10"/>
        <color theme="1"/>
        <rFont val="Arial"/>
        <family val="2"/>
      </rPr>
      <t>Deferral of a maximum of three month worth of payments of companies’ social contributions, VAT and payroll taxes for a period of up to 12 months (SEK 27 billion if uptake similar to GFC, and SEK 315 billion if fully used by all firms), deferral of annual VAT for 2019 (SEK 7 billion) and deferral of SME taxes (SEK 13 billion)</t>
    </r>
  </si>
  <si>
    <t>• Capital injection to the Scandinavian carrier SAS, the state-owned airport operator Swedavia and to Lernia (state-owned education and matching firm)</t>
  </si>
  <si>
    <r>
      <rPr>
        <b/>
        <sz val="10"/>
        <color theme="1"/>
        <rFont val="Arial"/>
        <family val="2"/>
      </rPr>
      <t>Additional spending</t>
    </r>
    <r>
      <rPr>
        <sz val="10"/>
        <color theme="1"/>
        <rFont val="Arial"/>
        <family val="2"/>
      </rPr>
      <t>: Includes army pharmacy (CHF2.45 billion), medication (CHF30 million) and health protection (CHF10 million).</t>
    </r>
  </si>
  <si>
    <r>
      <rPr>
        <sz val="10"/>
        <color theme="1"/>
        <rFont val="Symbol"/>
        <family val="1"/>
        <charset val="2"/>
      </rPr>
      <t xml:space="preserve">· </t>
    </r>
    <r>
      <rPr>
        <sz val="10"/>
        <color theme="1"/>
        <rFont val="Arial"/>
        <family val="2"/>
      </rPr>
      <t>Supported the Swiss Federal Railways s.t. it can take up an additional CHF 550 million from the Confederation in the form of customary interest-bearing loans with a term of up to one year.</t>
    </r>
  </si>
  <si>
    <r>
      <rPr>
        <b/>
        <sz val="10"/>
        <color theme="1"/>
        <rFont val="Arial"/>
        <family val="2"/>
      </rPr>
      <t>Additional spending:</t>
    </r>
    <r>
      <rPr>
        <sz val="10"/>
        <color theme="1"/>
        <rFont val="Arial"/>
        <family val="2"/>
      </rPr>
      <t xml:space="preserve"> includes loss compensation for cultural companies and creator (CHF 0.145 bn); benefits COVID income replacement directly affected (CHF4 bn) and indirectly affected (CHF 1.3 bn); financing for short term work program and the unemployment fund (CHF 20.2 bn), COVID bridging loan losses (CHF 1 bn); support for near-flight operations (CHF 0.6 bn); development aid (incl. contribution to IMF CHF 0.3 bn); loss cushion for public transport and rail freight (CHF 0.8 bn) and several other measures.</t>
    </r>
  </si>
  <si>
    <r>
      <rPr>
        <b/>
        <sz val="10"/>
        <color theme="1"/>
        <rFont val="Arial"/>
        <family val="2"/>
      </rPr>
      <t>Additional spending (8.3 bn):</t>
    </r>
    <r>
      <rPr>
        <sz val="10"/>
        <color theme="1"/>
        <rFont val="Arial"/>
        <family val="1"/>
        <charset val="2"/>
      </rPr>
      <t xml:space="preserve">
•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meals etc. </t>
    </r>
  </si>
  <si>
    <r>
      <rPr>
        <b/>
        <sz val="10"/>
        <color theme="1"/>
        <rFont val="Arial"/>
        <family val="2"/>
      </rPr>
      <t xml:space="preserve">Additional spending: </t>
    </r>
    <r>
      <rPr>
        <sz val="10"/>
        <color theme="1"/>
        <rFont val="Arial"/>
        <family val="2"/>
      </rPr>
      <t xml:space="preserve">
• Industrial companies have received relief in the form of lower energy and tax costs: Lower energy costs for factories (EGP 6 billion), subsidy pay-out for exporters (EGP 1 billion).
• Increase in support to pensioners and irregular workers: EGP 27.6 billion will be disbursed to 2.4 million families, totaling some 10 million citizens.
• Finance Ministry will guarantee EGP 3 billion of low-interest CBE loans for tourism industry.
• A new consumer spending initiative has been announced by the government, as part of which, two-year low-interest installments will be made available to encourage spending. This 3-month program will also include discounts on selected consumer goods.
• A new government holding fund to guarantee mortgages and consumer loans made by banks and consumer finance companies for up to EGP 2 billion has also been announced.
</t>
    </r>
    <r>
      <rPr>
        <b/>
        <sz val="10"/>
        <color theme="1"/>
        <rFont val="Arial"/>
        <family val="2"/>
      </rPr>
      <t xml:space="preserve">Forgone revenue: 
</t>
    </r>
    <r>
      <rPr>
        <sz val="10"/>
        <color theme="1"/>
        <rFont val="Arial"/>
        <family val="2"/>
      </rPr>
      <t>• Temporary real estate tax relief has been provided for industrial and tourism sectors; the moratorium on the tax law on agricultural land has been extended for 2 years; a 6-month grace period for SMEs to pay insurance premiums.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</si>
  <si>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t>Health measures 7 7 bn→8.3 bn, still lacking numbers, they will get back after talking to authorities</t>
  </si>
  <si>
    <r>
      <rPr>
        <b/>
        <sz val="10"/>
        <color theme="1"/>
        <rFont val="Arial"/>
        <family val="2"/>
      </rPr>
      <t>Additional spending</t>
    </r>
    <r>
      <rPr>
        <sz val="10"/>
        <color theme="1"/>
        <rFont val="Arial"/>
        <family val="2"/>
      </rPr>
      <t>:
•Purchase of protection equipment and additional remunerations in the ministries of health, interior and defense (0.5 bn).
• Government allocated: BGN 2.4 mln for coronavirus research;
BGN 24.6 mln for state standards for school and child healthcare and standards in the social shpere (old people care facilities, facilties for people with disabilities, homeless children care institutions); BGN 17.3 mln for subsidies to hospitals; BGN 126.3 mln for 10% increase in medical and dental care payments;
BGN 67 mln for provision of a net remuneration of BGN 1,000 to the medical specialists involved in the fight against COVID-19 on the first line until the end of 2020 (provided by redirecting funds from European programs)</t>
    </r>
  </si>
  <si>
    <r>
      <rPr>
        <b/>
        <sz val="10"/>
        <rFont val="Arial"/>
        <family val="2"/>
      </rPr>
      <t>Additional spending</t>
    </r>
    <r>
      <rPr>
        <sz val="10"/>
        <rFont val="Arial"/>
        <family val="2"/>
      </rPr>
      <t xml:space="preserve"> (BGN 2.2 bn): 
</t>
    </r>
    <r>
      <rPr>
        <sz val="10"/>
        <rFont val="Symbol"/>
        <family val="1"/>
        <charset val="2"/>
      </rPr>
      <t>·</t>
    </r>
    <r>
      <rPr>
        <sz val="10"/>
        <rFont val="Arial"/>
        <family val="2"/>
      </rPr>
      <t xml:space="preserve"> BGN 1.5 bn transfer to the unemployment fund, to cover both unemployment benefits and the scheme 60/40, under which the state will cover 60 percent of the wages and insurance payments for a three-month period. 
</t>
    </r>
    <r>
      <rPr>
        <sz val="10"/>
        <rFont val="Symbol"/>
        <family val="1"/>
        <charset val="2"/>
      </rPr>
      <t>·</t>
    </r>
    <r>
      <rPr>
        <sz val="10"/>
        <rFont val="Arial"/>
        <family val="2"/>
      </rPr>
      <t xml:space="preserve"> Government announced support scheme for all freelancers in the cultural field earning less than 1000 leva, for about 1200 people, at a cost of about 2.7 million leva; distributed BGN 610 as an additional bonus to social workers - employees of the Bureau of Labor and the General Labor Inspectorate.
</t>
    </r>
    <r>
      <rPr>
        <sz val="10"/>
        <rFont val="Symbol"/>
        <family val="1"/>
        <charset val="2"/>
      </rPr>
      <t>·</t>
    </r>
    <r>
      <rPr>
        <sz val="10"/>
        <rFont val="Arial"/>
        <family val="2"/>
      </rPr>
      <t xml:space="preserve"> Government approved; one-off cash transfer of BGN 375 to parents, forced to take unpaid leave to care for their children during the state of emergency (means-tested); BGN 92 mln for 30% increase in administrations that are on the frontline of the pandemic; BGN 318.3 mln for pension supplement of BGN 50 for all pensioners for 3 months; BGN 122 mln for payments for personal assistants; BGN 12 mln for the minimum amount of the unemployment benefit increased as of October 1, 2020; BGN 4 mln, from the beginning of October it is envisaged to increase the duration of payment of unemployment benefits by 3 months for persons with minimum benefits; BGN 67 mln for provision of a net remuneration of BGN 1,000 to the medical specialists involved in the fight against COVID-19 on the first line until the end of 2020; BGN 55 mln for tour operators who use air carriers with a valid operating license to operate charter flights to the Republic of Bulgaria for tourism purposes will be supported by a state subsidy of 35 euros per seat of the maximum passenger capacity of the aircraft for each flight. and several other measures.
</t>
    </r>
    <r>
      <rPr>
        <b/>
        <sz val="10"/>
        <rFont val="Arial"/>
        <family val="2"/>
      </rPr>
      <t xml:space="preserve">Forgone revenue </t>
    </r>
    <r>
      <rPr>
        <sz val="10"/>
        <rFont val="Arial"/>
        <family val="2"/>
      </rPr>
      <t>(BGN 0.165 bn):  
• Reduced VAT rate of 9% for restaurant services, books, baby food, wine, beer, tour operators and tourist trips, gyms and sports facilities until end-2021, leading to estimated annual revenue shortfalls amounting to BGN 150 mn and 15 mn, respectively for restaurant services and books in particular.</t>
    </r>
  </si>
  <si>
    <t>Checked with desk since the total package amount is much larger, while the breakdown of measures is unchanged (they still don't have information for the breakdown). Forwarded the email response to Raphael.</t>
  </si>
  <si>
    <r>
      <t xml:space="preserve">The Federal Executive Council (FEC) approved the N2.3 trillion stimulus package. 
</t>
    </r>
    <r>
      <rPr>
        <b/>
        <sz val="10"/>
        <color theme="1"/>
        <rFont val="Arial"/>
        <family val="2"/>
      </rPr>
      <t>Additional spending</t>
    </r>
    <r>
      <rPr>
        <sz val="10"/>
        <color theme="1"/>
        <rFont val="Arial"/>
        <family val="2"/>
      </rPr>
      <t xml:space="preserve">: Measures include: mass agriculture program, extensive public work and road construction, mass housing program, strengthening social safety net, support micro, small and medium enterprise. Conditional cash transfers are provided to households on the social register, the coverage of which is being expanded from 2.6m to 3.6m households. School feeding programs continue even with school closures. A Special Public Works program is set up.
</t>
    </r>
    <r>
      <rPr>
        <b/>
        <sz val="10"/>
        <color theme="1"/>
        <rFont val="Arial"/>
        <family val="2"/>
      </rPr>
      <t xml:space="preserve">
Forgone revenue:</t>
    </r>
    <r>
      <rPr>
        <sz val="10"/>
        <color theme="1"/>
        <rFont val="Arial"/>
        <family val="2"/>
      </rPr>
      <t xml:space="preserve"> Income tax relief and import duty waivers for medicine and medical goods will be introduced. Electricity tariff increases are being postponed.</t>
    </r>
  </si>
  <si>
    <r>
      <rPr>
        <b/>
        <sz val="10"/>
        <rFont val="Arial"/>
        <family val="2"/>
      </rPr>
      <t xml:space="preserve">Accelerated spending:
</t>
    </r>
    <r>
      <rPr>
        <sz val="10"/>
        <rFont val="Arial"/>
        <family val="2"/>
      </rPr>
      <t>• Early tax refunds of SMEs.
• Accelerated pay of public procurement obligations.</t>
    </r>
    <r>
      <rPr>
        <b/>
        <sz val="10"/>
        <rFont val="Arial"/>
        <family val="2"/>
      </rPr>
      <t xml:space="preserve">
Deferred revenue:
</t>
    </r>
    <r>
      <rPr>
        <sz val="10"/>
        <rFont val="Arial"/>
        <family val="2"/>
      </rPr>
      <t xml:space="preserve">• Tax deferrals (corporate income tax, VAT, property).
</t>
    </r>
  </si>
  <si>
    <t>Loans to unemployment insurance fund and capitalization of state-owned financial institutions to provide loan guarantees.</t>
  </si>
  <si>
    <r>
      <rPr>
        <b/>
        <sz val="10"/>
        <color theme="1"/>
        <rFont val="Arial"/>
        <family val="2"/>
      </rPr>
      <t>Additional spending:</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(around 0.8 percent of GDP).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transfer of 243 thousand million pesos to cover hospital payrolls.
</t>
    </r>
    <r>
      <rPr>
        <b/>
        <sz val="10"/>
        <color theme="1"/>
        <rFont val="Arial"/>
        <family val="2"/>
      </rPr>
      <t xml:space="preserve">
Forgone revenue:</t>
    </r>
    <r>
      <rPr>
        <sz val="10"/>
        <color theme="1"/>
        <rFont val="Arial"/>
        <family val="2"/>
      </rPr>
      <t xml:space="preserve"> a reduction of tariffs for strategic health imports, no VAT on over 100 medical goods.</t>
    </r>
  </si>
  <si>
    <r>
      <rPr>
        <b/>
        <sz val="10"/>
        <color theme="1"/>
        <rFont val="Arial"/>
        <family val="2"/>
      </rPr>
      <t xml:space="preserve">Additional spending:
• </t>
    </r>
    <r>
      <rPr>
        <sz val="10"/>
        <color theme="1"/>
        <rFont val="Arial"/>
        <family val="2"/>
      </rPr>
      <t xml:space="preserve">Expanded transfers for vulnerable groups (0.3 percent of GDP), including expanded social programs and support to workers in the informal sector. 
• Payroll subsidy for three months equivalent to 40 percent of the minimum wage per worker for businesses with a revenue fall above 20 percent (around 0.2 percent of GDP). 
• Payroll subsidy for three months equivalent to 40 percent of the minimum wage per worker for all businesses with a fall of over 20 percent in revenues (up to 0.6 percent of GDP). 
</t>
    </r>
    <r>
      <rPr>
        <sz val="10"/>
        <color theme="1"/>
        <rFont val="Symbol"/>
        <family val="1"/>
        <charset val="2"/>
      </rPr>
      <t>·</t>
    </r>
    <r>
      <rPr>
        <sz val="10"/>
        <color theme="1"/>
        <rFont val="Arial"/>
        <family val="2"/>
      </rPr>
      <t xml:space="preserve"> </t>
    </r>
    <r>
      <rPr>
        <sz val="10"/>
        <rFont val="Arial"/>
        <family val="2"/>
      </rPr>
      <t>Payroll subsidy worth 50% of June's bonuses for employees earning minimum wage for businesses with a revenue fall above 20 percent (0.1 percent of GDP). 
• Support for recently unemployed workers</t>
    </r>
    <r>
      <rPr>
        <sz val="10"/>
        <color rgb="FFFF0000"/>
        <rFont val="Arial"/>
        <family val="2"/>
      </rPr>
      <t>.</t>
    </r>
    <r>
      <rPr>
        <sz val="10"/>
        <color theme="1"/>
        <rFont val="Arial"/>
        <family val="2"/>
      </rPr>
      <t xml:space="preserve">
</t>
    </r>
    <r>
      <rPr>
        <b/>
        <sz val="10"/>
        <color theme="1"/>
        <rFont val="Arial"/>
        <family val="2"/>
      </rPr>
      <t xml:space="preserve"> 
Forgone revenue: </t>
    </r>
    <r>
      <rPr>
        <sz val="10"/>
        <color theme="1"/>
        <rFont val="Arial"/>
        <family val="2"/>
      </rPr>
      <t xml:space="preserve">
• No road tolls during the quarantine period.
• Tariff reduction for soy beans and corn, no VAT for medical supplies and internet connection.
• No interest costs on delayed payment of electricity and gas for most strata 1-4 households. Lowered interest rate on tax arrears.
• No VAT on new trucks until 2021.
</t>
    </r>
    <r>
      <rPr>
        <sz val="10"/>
        <color theme="1"/>
        <rFont val="Symbol"/>
        <family val="1"/>
        <charset val="2"/>
      </rPr>
      <t>·</t>
    </r>
    <r>
      <rPr>
        <sz val="10"/>
        <color theme="1"/>
        <rFont val="Arial"/>
        <family val="2"/>
      </rPr>
      <t xml:space="preserve"> For a duration of six months, public sector workers earning between Col Pesos 10-15 mn will pay additional taxes worth 10% of their salaries, those earning above 15 mn will contribute 15%.</t>
    </r>
  </si>
  <si>
    <r>
      <t xml:space="preserve">• </t>
    </r>
    <r>
      <rPr>
        <b/>
        <sz val="10"/>
        <color theme="1"/>
        <rFont val="Arial"/>
        <family val="2"/>
      </rPr>
      <t>COVID III Program</t>
    </r>
    <r>
      <rPr>
        <sz val="10"/>
        <color theme="1"/>
        <rFont val="Arial"/>
        <family val="2"/>
      </rPr>
      <t xml:space="preserve"> (Guarantees will cover up to 30% of loan principal. The state will issue 80-90% of the guarantees (total amount of CZK 150bn). Estimates of the amount of guarantees offered will allow SMEs to access loans amounting to CZK500bn. 
• </t>
    </r>
    <r>
      <rPr>
        <b/>
        <sz val="10"/>
        <color theme="1"/>
        <rFont val="Arial"/>
        <family val="2"/>
      </rPr>
      <t>COVID II Program</t>
    </r>
    <r>
      <rPr>
        <sz val="10"/>
        <color theme="1"/>
        <rFont val="Arial"/>
        <family val="2"/>
      </rPr>
      <t xml:space="preserve"> of state guarantees in total amount of CZK 20bn (loans up to CZK 15 million, state contribution on interest costs up to CZK 1 million, state guarantee up to 80% of loan, 3-year maturity)
• </t>
    </r>
    <r>
      <rPr>
        <b/>
        <sz val="10"/>
        <color theme="1"/>
        <rFont val="Arial"/>
        <family val="2"/>
      </rPr>
      <t xml:space="preserve">COVID Plus Program </t>
    </r>
    <r>
      <rPr>
        <sz val="10"/>
        <color theme="1"/>
        <rFont val="Arial"/>
        <family val="2"/>
      </rPr>
      <t xml:space="preserve">of state guarantees provided by Export Guarantee and Insurance Corporation in the amount of CZK 330bn.
• </t>
    </r>
    <r>
      <rPr>
        <b/>
        <sz val="10"/>
        <color theme="1"/>
        <rFont val="Arial"/>
        <family val="2"/>
      </rPr>
      <t xml:space="preserve">COVID Prague Program
</t>
    </r>
    <r>
      <rPr>
        <sz val="10"/>
        <color theme="1"/>
        <rFont val="Arial"/>
        <family val="2"/>
      </rPr>
      <t>CZK 500bn is the amount of guarantees which includes guarantees of Export Guarantee and Insurance Corporation in the amount of CZK 330bn (COVID Plus programme), COVID II guarantee programme in the amount of CZK 20bn a new guarantee programme (COVID III) in the amount of CZK 150bn. This new scheme will provide guarantees through the Bohemian-Moravian Guarantee and Development Bank. The scheme guarantees 90% of the principal of a loan up to CZK 45 million for operational financing of a company with up to 250 employees. For an entrepreneur with 250 to 500 employees, it is responsible for 80% of the amount of the operating loan up to CZK 40 million. The program is limited by a portfolio guarantee of 30% of principal amounts negotiated by the commercial bank.</t>
    </r>
  </si>
  <si>
    <r>
      <rPr>
        <sz val="10"/>
        <color theme="1"/>
        <rFont val="Symbol"/>
        <family val="1"/>
        <charset val="2"/>
      </rPr>
      <t>·</t>
    </r>
    <r>
      <rPr>
        <sz val="10"/>
        <color theme="1"/>
        <rFont val="Arial"/>
        <family val="2"/>
      </rPr>
      <t xml:space="preserve"> </t>
    </r>
    <r>
      <rPr>
        <sz val="10"/>
        <color theme="1"/>
        <rFont val="Arial"/>
        <family val="2"/>
      </rPr>
      <t>Extend and Improve Quarantine Centres/Facilities; 
· Importation of Key Medical Products; upgrade Existing Health Facilities based on different priority levels; 
· Ensure regular, stable electricity supply (including through provision/purchase of generators and fuel) for specialized medical (and associated) facilities handling COVID-19 affected patients in States and Regions where electrification levels are low.
· Ensure refrigeration for cold chain maintenance for vaccinations and special drugs</t>
    </r>
  </si>
  <si>
    <t>Establish funds to on lend to support SME, MFI, small farmers, trade financing.
Additional 100 billion kyat from re-appropriation of ministries’ budget was allocated to COVID-19 Fund for providing soft loans to COVID-19 affected businesses.</t>
  </si>
  <si>
    <t>Done</t>
  </si>
  <si>
    <t>0.7 percent of GDP is the estimated cost of treating COVID cases, including through the establishment of necessary facilities, and 0.6 percent of GDP is the estimated cost of additional medical supplies (0.3) and additional incentive payments to healthcare workers (0.3).</t>
  </si>
  <si>
    <t>Lending program to provide support for small and medium-sized enterprises and firms in tourism sector (1.3 percent of GDP)</t>
  </si>
  <si>
    <r>
      <rPr>
        <sz val="10"/>
        <color theme="1"/>
        <rFont val="Symbol"/>
        <family val="1"/>
        <charset val="2"/>
      </rPr>
      <t>·</t>
    </r>
    <r>
      <rPr>
        <sz val="10"/>
        <color theme="1"/>
        <rFont val="Arial"/>
        <family val="2"/>
      </rPr>
      <t xml:space="preserve"> </t>
    </r>
    <r>
      <rPr>
        <sz val="10"/>
        <color theme="1"/>
        <rFont val="Arial"/>
        <family val="2"/>
      </rPr>
      <t xml:space="preserve">Reinforced protection for medical staff; increased capacity to quarantine; recruitment of 1,500 health workers; set up isolation sites; 
</t>
    </r>
    <r>
      <rPr>
        <sz val="10"/>
        <color theme="1"/>
        <rFont val="Symbol"/>
        <family val="1"/>
        <charset val="2"/>
      </rPr>
      <t>·</t>
    </r>
    <r>
      <rPr>
        <sz val="10"/>
        <color theme="1"/>
        <rFont val="Arial"/>
        <family val="2"/>
      </rPr>
      <t xml:space="preserve"> </t>
    </r>
    <r>
      <rPr>
        <sz val="10"/>
        <color theme="1"/>
        <rFont val="Arial"/>
        <family val="2"/>
      </rPr>
      <t>Exemption of VAT and duties on medical goods.</t>
    </r>
  </si>
  <si>
    <r>
      <rPr>
        <b/>
        <sz val="10"/>
        <color theme="1"/>
        <rFont val="Arial"/>
        <family val="2"/>
      </rPr>
      <t>Additional spending:</t>
    </r>
    <r>
      <rPr>
        <b/>
        <sz val="10"/>
        <color theme="1"/>
        <rFont val="Symbol"/>
        <family val="1"/>
        <charset val="2"/>
      </rPr>
      <t xml:space="preserve"> 
</t>
    </r>
    <r>
      <rPr>
        <sz val="10"/>
        <color theme="1"/>
        <rFont val="Symbol"/>
        <family val="1"/>
        <charset val="2"/>
      </rPr>
      <t>·</t>
    </r>
    <r>
      <rPr>
        <sz val="10"/>
        <color theme="1"/>
        <rFont val="Arial"/>
        <family val="2"/>
      </rPr>
      <t xml:space="preserve"> </t>
    </r>
    <r>
      <rPr>
        <sz val="10"/>
        <color theme="1"/>
        <rFont val="Arial"/>
        <family val="2"/>
      </rPr>
      <t xml:space="preserve">Compensation for job losses and to businesses for loss of value added. 
</t>
    </r>
    <r>
      <rPr>
        <sz val="10"/>
        <color theme="1"/>
        <rFont val="Symbol"/>
        <family val="1"/>
        <charset val="2"/>
      </rPr>
      <t>·</t>
    </r>
    <r>
      <rPr>
        <sz val="10"/>
        <color theme="1"/>
        <rFont val="Arial"/>
        <family val="2"/>
      </rPr>
      <t xml:space="preserve"> </t>
    </r>
    <r>
      <rPr>
        <sz val="10"/>
        <color theme="1"/>
        <rFont val="Arial"/>
        <family val="2"/>
      </rPr>
      <t xml:space="preserve">Support to vulnerable households, food and cash transfers; 2 month-suspension of utility bills for vulnerable households. 
</t>
    </r>
    <r>
      <rPr>
        <sz val="10"/>
        <color theme="1"/>
        <rFont val="Symbol"/>
        <family val="1"/>
        <charset val="2"/>
      </rPr>
      <t>·</t>
    </r>
    <r>
      <rPr>
        <sz val="10"/>
        <color theme="1"/>
        <rFont val="Arial"/>
        <family val="2"/>
      </rPr>
      <t xml:space="preserve"> Increase </t>
    </r>
    <r>
      <rPr>
        <sz val="10"/>
        <color theme="1"/>
        <rFont val="Arial"/>
        <family val="2"/>
      </rPr>
      <t xml:space="preserve">social assistance packages; Support to informal enterprises, formal sector for the lost values, and formal job loss for the next 6 months. 
</t>
    </r>
    <r>
      <rPr>
        <sz val="10"/>
        <color theme="1"/>
        <rFont val="Symbol"/>
        <family val="1"/>
        <charset val="2"/>
      </rPr>
      <t>·</t>
    </r>
    <r>
      <rPr>
        <sz val="10"/>
        <color theme="1"/>
        <rFont val="Arial"/>
        <family val="2"/>
      </rPr>
      <t xml:space="preserve"> </t>
    </r>
    <r>
      <rPr>
        <sz val="10"/>
        <color theme="1"/>
        <rFont val="Arial"/>
        <family val="2"/>
      </rPr>
      <t xml:space="preserve">Support to local industries, agriculture and food production. 
</t>
    </r>
    <r>
      <rPr>
        <b/>
        <sz val="10"/>
        <color theme="1"/>
        <rFont val="Arial"/>
        <family val="2"/>
      </rPr>
      <t xml:space="preserve">Forgone revenues:
</t>
    </r>
    <r>
      <rPr>
        <b/>
        <sz val="10"/>
        <color theme="1"/>
        <rFont val="Symbol"/>
        <family val="1"/>
        <charset val="2"/>
      </rPr>
      <t>·</t>
    </r>
    <r>
      <rPr>
        <b/>
        <sz val="10"/>
        <color theme="1"/>
        <rFont val="Arial"/>
        <family val="2"/>
      </rPr>
      <t xml:space="preserve"> H</t>
    </r>
    <r>
      <rPr>
        <sz val="10"/>
        <color theme="1"/>
        <rFont val="Arial"/>
        <family val="2"/>
      </rPr>
      <t xml:space="preserve">igher depreciation cost allowed in tax declaration for businesses; provide new import credits; delay vehicle taxes; suspension of the uniform informal tax and transport VAT in urban centers.
</t>
    </r>
    <r>
      <rPr>
        <sz val="10"/>
        <color theme="1"/>
        <rFont val="Symbol"/>
        <family val="1"/>
        <charset val="2"/>
      </rPr>
      <t>·</t>
    </r>
    <r>
      <rPr>
        <sz val="10"/>
        <color theme="1"/>
        <rFont val="Arial"/>
        <family val="2"/>
      </rPr>
      <t xml:space="preserve"> </t>
    </r>
    <r>
      <rPr>
        <sz val="10"/>
        <color theme="1"/>
        <rFont val="Arial"/>
        <family val="2"/>
      </rPr>
      <t>Reduction of VAT on the hotel sector to 10 percent and the exemption of the minimum flat tax (IMF) from 2019 tax declarations. Suspension of tax collection from travel agents, restaurant and the sports sector.</t>
    </r>
  </si>
  <si>
    <t>Credit support to the private sector in the form of loan guarantees placed in dedicated bank deposits.</t>
  </si>
  <si>
    <t>There are bank guarantees to the government for unpaid taxes beyond the suspension period announced. Credit support to the private sector in the form of loan guarantees worth 50 bln lc supporting a total of 150 bln lc in new loans to private sector.</t>
  </si>
  <si>
    <t>Affected firms and workers are allowed to defer their contribution (up to 12 months) to the pension fund and survivor-ship fund with no interest penalty for late payment (estimated to be VND 9.5 tn).</t>
  </si>
  <si>
    <t xml:space="preserve">Additional spending on medicines, quarantines, and treatment. Salary supplement for medical employees (6 percent of wage for the time engaged in anti-COVID-19 measures). </t>
  </si>
  <si>
    <r>
      <rPr>
        <b/>
        <sz val="10"/>
        <color theme="1"/>
        <rFont val="Arial"/>
        <family val="2"/>
      </rPr>
      <t xml:space="preserve">Additional spending </t>
    </r>
    <r>
      <rPr>
        <sz val="10"/>
        <color theme="1"/>
        <rFont val="Arial"/>
        <family val="2"/>
      </rPr>
      <t xml:space="preserve">(8375 billion):
</t>
    </r>
    <r>
      <rPr>
        <sz val="10"/>
        <color theme="1"/>
        <rFont val="Symbol"/>
        <family val="1"/>
        <charset val="2"/>
      </rPr>
      <t>·</t>
    </r>
    <r>
      <rPr>
        <sz val="10"/>
        <color theme="1"/>
        <rFont val="Arial"/>
        <family val="2"/>
      </rPr>
      <t xml:space="preserve"> Expanded t</t>
    </r>
    <r>
      <rPr>
        <sz val="10"/>
        <color theme="1"/>
        <rFont val="Arial"/>
        <family val="2"/>
      </rPr>
      <t xml:space="preserve">he number of recipients of social benefits by about 35 percent; 
</t>
    </r>
    <r>
      <rPr>
        <sz val="10"/>
        <color theme="1"/>
        <rFont val="Symbol"/>
        <family val="1"/>
        <charset val="2"/>
      </rPr>
      <t>·</t>
    </r>
    <r>
      <rPr>
        <sz val="10"/>
        <color theme="1"/>
        <rFont val="Arial"/>
        <family val="2"/>
      </rPr>
      <t xml:space="preserve"> Raised </t>
    </r>
    <r>
      <rPr>
        <sz val="10"/>
        <color theme="1"/>
        <rFont val="Arial"/>
        <family val="2"/>
      </rPr>
      <t xml:space="preserve">spending to cover the average salary for worker taking care of their children during the quarantine period. 
</t>
    </r>
    <r>
      <rPr>
        <sz val="10"/>
        <color theme="1"/>
        <rFont val="Symbol"/>
        <family val="1"/>
        <charset val="2"/>
      </rPr>
      <t>·</t>
    </r>
    <r>
      <rPr>
        <sz val="10"/>
        <color theme="1"/>
        <rFont val="Arial"/>
        <family val="2"/>
      </rPr>
      <t xml:space="preserve"> Increased</t>
    </r>
    <r>
      <rPr>
        <sz val="10"/>
        <color theme="1"/>
        <rFont val="Arial"/>
        <family val="2"/>
      </rPr>
      <t xml:space="preserve"> spending to cover leave payments of employees of age 60+ with chronic illnesses (that must stay at home during quarantine period).
</t>
    </r>
    <r>
      <rPr>
        <sz val="10"/>
        <color theme="1"/>
        <rFont val="Symbol"/>
        <family val="1"/>
        <charset val="2"/>
      </rPr>
      <t>·</t>
    </r>
    <r>
      <rPr>
        <sz val="10"/>
        <color theme="1"/>
        <rFont val="Arial"/>
        <family val="2"/>
      </rPr>
      <t xml:space="preserve"> Provided</t>
    </r>
    <r>
      <rPr>
        <sz val="10"/>
        <color theme="1"/>
        <rFont val="Arial"/>
        <family val="2"/>
      </rPr>
      <t xml:space="preserve"> assistance to affected businesses via revolving facilities, debt service deferrals at subsidized interest.
</t>
    </r>
    <r>
      <rPr>
        <sz val="10"/>
        <color theme="1"/>
        <rFont val="Symbol"/>
        <family val="1"/>
        <charset val="2"/>
      </rPr>
      <t>·</t>
    </r>
    <r>
      <rPr>
        <sz val="10"/>
        <color theme="1"/>
        <rFont val="Arial"/>
        <family val="2"/>
      </rPr>
      <t xml:space="preserve"> Increased spending for public works to support infrastructure in the regions and support employment. 
</t>
    </r>
    <r>
      <rPr>
        <b/>
        <sz val="10"/>
        <color theme="1"/>
        <rFont val="Arial"/>
        <family val="2"/>
      </rPr>
      <t xml:space="preserve">Forgone revenue </t>
    </r>
    <r>
      <rPr>
        <sz val="10"/>
        <color theme="1"/>
        <rFont val="Arial"/>
        <family val="2"/>
      </rPr>
      <t xml:space="preserve">(5000 billion):
</t>
    </r>
    <r>
      <rPr>
        <sz val="10"/>
        <color theme="1"/>
        <rFont val="Symbol"/>
        <family val="1"/>
        <charset val="2"/>
      </rPr>
      <t>·</t>
    </r>
    <r>
      <rPr>
        <sz val="10"/>
        <color theme="1"/>
        <rFont val="Arial"/>
        <family val="2"/>
      </rPr>
      <t xml:space="preserve"> Reduction of minimum payment of social tax for individual entrepreneurs (a single tax for small businesses) from UZS 223,000 to UZS 111,500 per month during Apr-Oct 2020: (Central government). Reduced tax rate for usage of water resources for farmland by 50 percent: (Central government); Suspension of tourism tax during Apr-Jul 2020: (Central government); Postponing property tax and land tax during Apr-Oct 2020 - 6 months interest free deferrals: (Central government); Extending the moratorium on tax audits until 2021: (Central government)
Delaying tax declarations for 2019 income taxes from April to August: (Central government); 
</t>
    </r>
    <r>
      <rPr>
        <sz val="10"/>
        <color theme="1"/>
        <rFont val="Symbol"/>
        <family val="1"/>
        <charset val="2"/>
      </rPr>
      <t>·</t>
    </r>
    <r>
      <rPr>
        <sz val="10"/>
        <color theme="1"/>
        <rFont val="Arial"/>
        <family val="2"/>
      </rPr>
      <t xml:space="preserve"> </t>
    </r>
    <r>
      <rPr>
        <sz val="10"/>
        <color theme="1"/>
        <rFont val="Arial"/>
        <family val="2"/>
      </rPr>
      <t xml:space="preserve">Tourism and hotel activities tax relief: These activities are exempt from paying property and land tax until end of 2020, and social tax rate is reduced from 12 to 1 percent (Central government). SMEs whose revenue drops 50% (m-o-m) can defer payments of turnover tax, land tax, property tax, social and water use tax until October 2020.
</t>
    </r>
    <r>
      <rPr>
        <sz val="10"/>
        <color theme="1"/>
        <rFont val="Symbol"/>
        <family val="1"/>
        <charset val="2"/>
      </rPr>
      <t>·</t>
    </r>
    <r>
      <rPr>
        <sz val="10"/>
        <color theme="1"/>
        <rFont val="Arial"/>
        <family val="2"/>
      </rPr>
      <t>Exemption of income tax for self employees</t>
    </r>
  </si>
  <si>
    <t>Government loans to some strategic SOEs (national air carrier) to repay loans and other expenses (for UZS 1 trillion).
Rollover loans issued under the government program for individual entrepreneurs (for UZS 1 trillion)</t>
  </si>
  <si>
    <t>The government has announced an 8 billion kwacha Covid-19 Mitigation Bond to finance related spending, which includes 1 billion in health-related spending: purchases of equipment and clearance of arrears to local drug suppliers.</t>
  </si>
  <si>
    <r>
      <t xml:space="preserve">Additional spending:
</t>
    </r>
    <r>
      <rPr>
        <sz val="10"/>
        <color theme="1"/>
        <rFont val="Symbol"/>
        <family val="1"/>
        <charset val="2"/>
      </rPr>
      <t>·</t>
    </r>
    <r>
      <rPr>
        <sz val="10"/>
        <color theme="1"/>
        <rFont val="Arial"/>
        <family val="2"/>
      </rPr>
      <t xml:space="preserve"> </t>
    </r>
    <r>
      <rPr>
        <sz val="10"/>
        <color theme="1"/>
        <rFont val="Arial"/>
        <family val="2"/>
      </rPr>
      <t xml:space="preserve">3.1 billion to clear arrears to suppliers of goods and services, on VAT refunds, on pensions, as well as third-party arrears to micro-finance institutions.
</t>
    </r>
    <r>
      <rPr>
        <sz val="10"/>
        <color theme="1"/>
        <rFont val="Symbol"/>
        <family val="1"/>
        <charset val="2"/>
      </rPr>
      <t>·</t>
    </r>
    <r>
      <rPr>
        <sz val="10"/>
        <color theme="1"/>
        <rFont val="Arial"/>
        <family val="2"/>
      </rPr>
      <t xml:space="preserve"> 0.5 billion for youth empowerment programs;
</t>
    </r>
    <r>
      <rPr>
        <sz val="10"/>
        <color theme="1"/>
        <rFont val="Symbol"/>
        <family val="1"/>
        <charset val="2"/>
      </rPr>
      <t>·</t>
    </r>
    <r>
      <rPr>
        <sz val="10"/>
        <color theme="1"/>
        <rFont val="Arial"/>
        <family val="2"/>
      </rPr>
      <t xml:space="preserve"> 1.7 billion for grain purchases; 
</t>
    </r>
    <r>
      <rPr>
        <sz val="10"/>
        <color theme="1"/>
        <rFont val="Symbol"/>
        <family val="1"/>
        <charset val="2"/>
      </rPr>
      <t>·</t>
    </r>
    <r>
      <rPr>
        <sz val="10"/>
        <color theme="1"/>
        <rFont val="Arial"/>
        <family val="2"/>
      </rPr>
      <t xml:space="preserve"> 0.8 billion for other purposes; 
</t>
    </r>
    <r>
      <rPr>
        <b/>
        <sz val="10"/>
        <color theme="1"/>
        <rFont val="Arial"/>
        <family val="2"/>
      </rPr>
      <t xml:space="preserve">
Forgone revenues:</t>
    </r>
    <r>
      <rPr>
        <sz val="10"/>
        <color theme="1"/>
        <rFont val="Arial"/>
        <family val="2"/>
      </rPr>
      <t xml:space="preserve"> Import duties on mineral concentrate and export duties on precious metals and crocodile skin were suspended. The government has waived tax penalties and interest on outstanding tax liabilities resulting from the impact of COVID-19.</t>
    </r>
  </si>
  <si>
    <t>Recapitalize NATSAVE (development bank).</t>
  </si>
  <si>
    <t>· Raise the March wages of healthcare workers by up to 15 percent (EUR 0.5 million has been allocated) (€0.5 mill)
· The removal of the excise on medical alcohol sold in pharmacies</t>
  </si>
  <si>
    <t xml:space="preserve">• The creation of a new Investment Development Fund (IRF) credit  line to improve the liquidity of entrepreneurs (€50m)
</t>
  </si>
  <si>
    <t>· 10 percent wage increase for public healthcare sector (RSD 13bn)
· Increased healthcare spending (about RSD 26bn though recently reported to be higher- as much as RSD 60bn)</t>
  </si>
  <si>
    <r>
      <rPr>
        <b/>
        <sz val="10"/>
        <rFont val="Arial"/>
        <family val="2"/>
      </rPr>
      <t>Additional spending:</t>
    </r>
    <r>
      <rPr>
        <sz val="10"/>
        <rFont val="Arial"/>
        <family val="2"/>
      </rPr>
      <t xml:space="preserve"> 
Wage subsidies (RSD 93bn):
(i) Payment of 3 minimum wages for all employees in SMEs and entrepreneurs (about 900,000 employees)
(ii) Payment of 50 perfect of minimum wages to large companies for employees who are not working
One-off payment to all pensioners (RSD 7bn)
New loands to SMEs from the Development Fund (RSD 24bn)
Universal cash transfer of EUR 100 to each citizen over 18 years old (about RSD 70bn)
Support to 14,000 most vulnerable women in 50 municipalities across Serbia (worth RSD 12bn) in hygiene packages and essential foods</t>
    </r>
  </si>
  <si>
    <t xml:space="preserve">• A state guarantee scheme for bank loans to SMEs has been approved (exposure of RSD 56.5bn)
</t>
  </si>
  <si>
    <r>
      <rPr>
        <b/>
        <sz val="10"/>
        <color theme="1"/>
        <rFont val="Arial"/>
        <family val="2"/>
      </rPr>
      <t>Non-Spending Measures:</t>
    </r>
    <r>
      <rPr>
        <sz val="10"/>
        <color theme="1"/>
        <rFont val="Arial"/>
        <family val="2"/>
      </rPr>
      <t xml:space="preserve">
Abolished the import duty on medical supplies (MKD ? mill)</t>
    </r>
  </si>
  <si>
    <r>
      <rPr>
        <b/>
        <sz val="10"/>
        <rFont val="Arial"/>
        <family val="2"/>
      </rPr>
      <t>Spending Measures:</t>
    </r>
    <r>
      <rPr>
        <sz val="10"/>
        <rFont val="Arial"/>
        <family val="2"/>
      </rPr>
      <t xml:space="preserve">
Targeted subsidies on private sector wages and social security contributions (for April, May, and June); a subsidy for those part of the informal economy;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t>
    </r>
    <r>
      <rPr>
        <b/>
        <sz val="10"/>
        <rFont val="Arial"/>
        <family val="2"/>
      </rPr>
      <t>Non-Spending Measures:</t>
    </r>
    <r>
      <rPr>
        <sz val="10"/>
        <rFont val="Arial"/>
        <family val="2"/>
      </rPr>
      <t xml:space="preserve">
Lowering the late interest rate for public taxes and duties from 0.03% to 0.015% (MKD? Mill)
Lowering the penalty rate, by 50% i.e. to 5% for corporates and to 4% for the households (MKD ? mill)</t>
    </r>
  </si>
  <si>
    <t xml:space="preserve">• MKD 0.8 billion credit line from the MKD development bank for SMEs
</t>
  </si>
  <si>
    <t>MKD 3.1 billion of cheap loans to SMEs from the MKD development banks channeled through commercial banks</t>
  </si>
  <si>
    <r>
      <rPr>
        <b/>
        <sz val="10"/>
        <color theme="1"/>
        <rFont val="Arial"/>
        <family val="2"/>
      </rPr>
      <t>Spending Measures:</t>
    </r>
    <r>
      <rPr>
        <sz val="10"/>
        <color theme="1"/>
        <rFont val="Arial"/>
        <family val="2"/>
      </rPr>
      <t xml:space="preserve">
The approved RFI in the amount of SDR 265.2 million (100 percent of quota) will provide resources to accelerate the purchases of necessary medical equipment, additional payments to medical and paramedical staff, and clearance of health sector arrears (KM 653 million)
The entity governments have allocated around KM 89.6 million for dealing with COVID-19. Including purchasing medical equipment:
- FBIH transferred KM 30 million to hospitals and allocated KM 2.1 million from the budget for the procurement of medical equipment.
- Sarajevo Canton budget allocated KM 3 million for procurement of medical equipment.
- RS allocated KM 4.5 million from the budget for the procurement of medical equipment and announced the health fund will cover health care costs for all patients by KM 50 million.</t>
    </r>
  </si>
  <si>
    <r>
      <rPr>
        <b/>
        <sz val="10"/>
        <rFont val="Arial"/>
        <family val="2"/>
      </rPr>
      <t xml:space="preserve">Spending Measures:
</t>
    </r>
    <r>
      <rPr>
        <sz val="10"/>
        <rFont val="Arial"/>
        <family val="2"/>
      </rPr>
      <t>RS and FBIH are setting up a special fund to stabilize the economy through subsidizing contributions and taxes and paying minimum wages (RS) for all employees of the companies impacted by COVID-19 (KM 500 million)
Brcko District will pay minimum salaries in the amount of KM 520 – including all taxes and contributions – for March 2020 for around 6,000 workers in the companies whose work was prohibited (KM 6 million)</t>
    </r>
  </si>
  <si>
    <t>FBIH – establishment of a guarantee fund at the Development Bank which will serve to maintain and improve the liquidity of companies. FBIH government is committed to providing the Fund’s initial funds of KM 80 million by diverting its funds already managed on a commission basis by the FBIH Development Bank. Additional for the capitalization of the Fund in the amount of KM 20 million are planned to be provided by the revision of the FBIH Budget for 2020. 
Therefore, the Fund’s total assets in the initial period will amount to KM 100 million, on the basis of which the FBIH Development Bank will be able to issue guarantees and be exposed to a maximum of KM 500 million under them. RS – announced guarantee fund with exposure up to KM 350 million.</t>
  </si>
  <si>
    <r>
      <rPr>
        <b/>
        <sz val="10"/>
        <color theme="1"/>
        <rFont val="Arial"/>
        <family val="2"/>
      </rPr>
      <t>Spending Measures:</t>
    </r>
    <r>
      <rPr>
        <sz val="10"/>
        <color theme="1"/>
        <rFont val="Arial"/>
        <family val="2"/>
      </rPr>
      <t xml:space="preserve">
Extra allowance (€300 per employee) for April, May (€15 mill)
6 million euros to the Health Ministry to procure medical equipment (from contingencies) (€6 mill)
Government decision to allocate 10 million to the Ministry of Health (€ 10 mill)</t>
    </r>
  </si>
  <si>
    <r>
      <rPr>
        <b/>
        <sz val="10"/>
        <rFont val="Arial"/>
        <family val="2"/>
      </rPr>
      <t xml:space="preserve">Spending Measures:
</t>
    </r>
    <r>
      <rPr>
        <sz val="10"/>
        <rFont val="Arial"/>
        <family val="2"/>
      </rPr>
      <t xml:space="preserve">Support for companies for wage expenses of employees (Apr, May) (€ 41 mill)
Covering of the value of pension contributions (April, May) (€8 mill)
Extra allowance (€100 per employee) for April, May (€ 3 mill)
Subsidies for new employment (€ 6 mill)
Subsidy up to 50 % of rent for April and May (€ 12 mill)
Grants and subsidies for increasing agricultural production (€ 5 mill)
Additional transfers to pensioners (€ 13 mill)
Additional transfers to families (€ 7.65 mill)
Financial support to local governments (€ 10 mill)
Financial support to ethnical communities (€ 2 mill)
Unemployment benefits (€ 130 per person)
</t>
    </r>
    <r>
      <rPr>
        <b/>
        <sz val="10"/>
        <rFont val="Arial"/>
        <family val="2"/>
      </rPr>
      <t>Non-spending Measure</t>
    </r>
    <r>
      <rPr>
        <sz val="10"/>
        <rFont val="Arial"/>
        <family val="2"/>
      </rPr>
      <t>s:
Removal of VAT on imports of wheat and flour (€ 2.5 mill)
Support for exporters (€ 10 mill)</t>
    </r>
  </si>
  <si>
    <t>Ensuring of borrowing free of interest for public enterprises with a return until 31.12.2020 (€ 20 mill)</t>
  </si>
  <si>
    <t xml:space="preserve">Micro-enterprises and self-employed through Kosovo Credit Guarantee Fund (€ 15 mill) </t>
  </si>
  <si>
    <r>
      <rPr>
        <b/>
        <sz val="10"/>
        <rFont val="Arial"/>
        <family val="2"/>
      </rPr>
      <t>Additional spending (38.5 bn):</t>
    </r>
    <r>
      <rPr>
        <sz val="10"/>
        <rFont val="Arial"/>
        <family val="2"/>
      </rPr>
      <t xml:space="preserve">
• Budget increase for Health Ministry to improve virus diagnostics, purchase hospital equipment, and build temporary emergency treatment centers.
• Budget transfers to specific hospitals.
• Four monthly bonuses of AR $5K for healthcare workers (AR $12 bn).
• Other (non-costed) support for the health sector includes infrastructure spending and discretionary transfers related to healthcare to provinces. 
</t>
    </r>
    <r>
      <rPr>
        <b/>
        <sz val="10"/>
        <rFont val="Arial"/>
        <family val="2"/>
      </rPr>
      <t xml:space="preserve">Forgone revenue (AR $9 bn):
</t>
    </r>
    <r>
      <rPr>
        <sz val="10"/>
        <rFont val="Arial"/>
        <family val="2"/>
      </rPr>
      <t>• Exemption from import duties and statistical tax for medical supplies (April-August).
• Tax aliquots on credits and debits in bank accounts and other operations of 2.5 and 5 percent for health service operations.
• 95 percent reduction in the aliquot of employer social security contributions for a period of 90 days for health workers (April-June).</t>
    </r>
  </si>
  <si>
    <r>
      <rPr>
        <b/>
        <sz val="10"/>
        <rFont val="Arial"/>
        <family val="2"/>
      </rPr>
      <t>Additional spending:</t>
    </r>
    <r>
      <rPr>
        <sz val="10"/>
        <rFont val="Arial"/>
        <family val="2"/>
      </rPr>
      <t xml:space="preserve"> 
Wage subsidies (RSD 93bn):
(i) Payment of 3 minimum wages for all employees in SMEs and entrepreneurs (about 900,000 employees)
(ii) Payment of 50 perfect of minimum wages to large companies for employees who are not working
One-off payment to all pensioners (RSD 7bn)
New loands to SMEs from the Development Fund (RSD 24bn)
Universal cash transfer of EUR 100 to each citizen over 18 years old (about RSD 70bn)
Support to 14,000 most vulnerable women in 50 municipalities across Serbia (worth RSD 12bn) in hygiene packages and essential foods
· Assistance to the agriculture and fisheries sector, including one-off assistance to fishermen (EUR 7.2 million)
</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</si>
  <si>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 Subsidy on utility costs (for electricity and natural gas) for low-level consumers from March to May.
</t>
    </r>
    <r>
      <rPr>
        <sz val="10"/>
        <color theme="1"/>
        <rFont val="Symbol"/>
        <family val="1"/>
        <charset val="2"/>
      </rPr>
      <t>·</t>
    </r>
    <r>
      <rPr>
        <sz val="10"/>
        <color theme="1"/>
        <rFont val="Arial"/>
        <family val="2"/>
      </rPr>
      <t xml:space="preserve"> Cash transfers to vulnerable families and to compensate job loss including: provision of 1,200 GEL over the course of 6 months to individuals who lost their jobs or were put on an unpaid leave; one-time assistance of 300 GEL to people who are self-employed or employed in the “informal sector”; as well as support to extremely poor families; children in poor families; invalids and invalid children.
</t>
    </r>
    <r>
      <rPr>
        <sz val="10"/>
        <color theme="1"/>
        <rFont val="Symbol"/>
        <family val="1"/>
        <charset val="2"/>
      </rPr>
      <t>·</t>
    </r>
    <r>
      <rPr>
        <sz val="10"/>
        <color theme="1"/>
        <rFont val="Arial"/>
        <family val="2"/>
      </rPr>
      <t xml:space="preserve"> Support to businesses in the form of a credit guarantee scheme for SMEs, microgrants, support to the agriculture sector and construction sector  including through the acquisition of houses for refugees.
</t>
    </r>
    <r>
      <rPr>
        <b/>
        <sz val="10"/>
        <color theme="1"/>
        <rFont val="Arial"/>
        <family val="2"/>
      </rPr>
      <t xml:space="preserve">
Forgone revenue:
</t>
    </r>
    <r>
      <rPr>
        <sz val="10"/>
        <color theme="1"/>
        <rFont val="Arial"/>
        <family val="2"/>
      </rPr>
      <t>• Income tax relief to businesses who retain workers. Over the course of 6 months: (1) salaries up to 750 GEL will be fully exempt from income tax; and (2) for salaries up to 1,500 GEL, 750 GEL will be exempt from income tax.
• Property tax waiver to the tourism sector.</t>
    </r>
  </si>
  <si>
    <r>
      <rPr>
        <b/>
        <sz val="10"/>
        <color theme="1"/>
        <rFont val="Arial"/>
        <family val="2"/>
      </rPr>
      <t>Additional spending</t>
    </r>
    <r>
      <rPr>
        <sz val="10"/>
        <color theme="1"/>
        <rFont val="Arial"/>
        <family val="2"/>
      </rPr>
      <t xml:space="preserve">: Cash payments to the unemployed, self-employed, and to a broader segment of the vulnerable population; cash transfer program to individuals who lost their jobs due to quarantine; distribution of food and household products; measures to support employment under the "Employment Roadmap" initiative (including some large-scale projects to modernize transportation infrastructure); credit subsidies to farmers.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 land tax exemption for agricultural producers; property tax exemptions for SMEs in vulnerable sectors).</t>
    </r>
  </si>
  <si>
    <r>
      <rPr>
        <b/>
        <sz val="10"/>
        <color theme="1"/>
        <rFont val="Arial"/>
        <family val="2"/>
      </rPr>
      <t>Additional spending</t>
    </r>
    <r>
      <rPr>
        <sz val="10"/>
        <color theme="1"/>
        <rFont val="Arial"/>
        <family val="2"/>
      </rPr>
      <t xml:space="preserve">: Implementation of a Wage Support Scheme and Self-Employed Assistance Scheme, providing financial support during March to June to employees who become unemployed on a temporary basis, as well as those employed in informal sectors or self-employed. The schemes were extended to July for employees in the tourism sector only.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</si>
  <si>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rPr>
        <b/>
        <sz val="10"/>
        <color theme="1"/>
        <rFont val="Arial"/>
        <family val="2"/>
      </rPr>
      <t xml:space="preserve">Additional spending: 
• </t>
    </r>
    <r>
      <rPr>
        <sz val="10"/>
        <color theme="1"/>
        <rFont val="Arial"/>
        <family val="2"/>
      </rPr>
      <t>Cash transfers for poor families, independent workers, and other families in need. 
• Electricity subsidy.
• Tablets for students.
• Public works and other public investment projects.</t>
    </r>
  </si>
  <si>
    <r>
      <t xml:space="preserve">• Guarantees to new financial sector loans for working capital, primarily targeted to SMEs. The program is also tied to a liquidity provision program in which the central bank can accept the guaranteed loans for repo operations. </t>
    </r>
    <r>
      <rPr>
        <sz val="10"/>
        <color theme="1"/>
        <rFont val="Arial"/>
        <family val="2"/>
      </rPr>
      <t>It also includes an Enterprise Support Fund program for SMEs and micro enterprises.</t>
    </r>
  </si>
  <si>
    <r>
      <rPr>
        <b/>
        <sz val="10"/>
        <color theme="1"/>
        <rFont val="Arial"/>
        <family val="2"/>
      </rPr>
      <t>Additional spending</t>
    </r>
    <r>
      <rPr>
        <sz val="10"/>
        <color theme="1"/>
        <rFont val="Arial"/>
        <family val="2"/>
      </rPr>
      <t xml:space="preserve"> (TND 1.51 bn):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creation of a special program for the support of social work institutions and job creation for vulnerable classes.
</t>
    </r>
    <r>
      <rPr>
        <b/>
        <sz val="10"/>
        <color theme="1"/>
        <rFont val="Arial"/>
        <family val="2"/>
      </rPr>
      <t xml:space="preserve">Forgone revenue </t>
    </r>
    <r>
      <rPr>
        <sz val="10"/>
        <color theme="1"/>
        <rFont val="Arial"/>
        <family val="2"/>
      </rPr>
      <t xml:space="preserve">(TND 0.03 bn):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</si>
  <si>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t xml:space="preserve">• Establishing a financing line for SMEs (TND 0.3 bn). 
</t>
    </r>
    <r>
      <rPr>
        <sz val="10"/>
        <color theme="1"/>
        <rFont val="Symbol"/>
        <family val="1"/>
        <charset val="2"/>
      </rPr>
      <t>·</t>
    </r>
    <r>
      <rPr>
        <sz val="8"/>
        <color theme="1"/>
        <rFont val="Arial"/>
        <family val="2"/>
      </rPr>
      <t xml:space="preserve"> </t>
    </r>
    <r>
      <rPr>
        <sz val="10"/>
        <color theme="1"/>
        <rFont val="Arial"/>
        <family val="2"/>
      </rPr>
      <t xml:space="preserve">Activate a mechanism for the State to take charge of the interest rate differential between the TMM and the effective interest rate, on investment loans for SMEs (max 3%): (TND 0.04 bn)
• Some extra-budgetary funds on public donation to the health sector (TND 0.186 bn). 
• Investment fund to finance private companies to preserve jobs (TND 0.5 bn). 
• A bridging fund for repurchase of shares in investment funds (TND 0.1 bn). </t>
    </r>
  </si>
  <si>
    <r>
      <rPr>
        <b/>
        <sz val="10"/>
        <color theme="1"/>
        <rFont val="Arial"/>
        <family val="2"/>
      </rPr>
      <t>Additional spending</t>
    </r>
    <r>
      <rPr>
        <sz val="10"/>
        <color theme="1"/>
        <rFont val="Arial"/>
        <family val="2"/>
      </rPr>
      <t xml:space="preserve">: 
</t>
    </r>
    <r>
      <rPr>
        <sz val="10"/>
        <color theme="1"/>
        <rFont val="Symbol"/>
        <family val="1"/>
        <charset val="2"/>
      </rPr>
      <t>·</t>
    </r>
    <r>
      <rPr>
        <sz val="10"/>
        <color theme="1"/>
        <rFont val="Arial"/>
        <family val="2"/>
      </rPr>
      <t xml:space="preserve"> Expansion of existing social transfer programs for vulnerable households, including allowance programs and food aid distribution; Cash assistance to the jobless poor affected by COVID-19 (Corona-Cash). 
</t>
    </r>
    <r>
      <rPr>
        <sz val="10"/>
        <color theme="1"/>
        <rFont val="Symbol"/>
        <family val="1"/>
        <charset val="2"/>
      </rPr>
      <t xml:space="preserve">· </t>
    </r>
    <r>
      <rPr>
        <sz val="10"/>
        <color theme="1"/>
        <rFont val="Arial"/>
        <family val="2"/>
      </rPr>
      <t xml:space="preserve">Wage support (50bn loan) for export-oriented industries; working capital loan interest subsidies (30bn) for COVID-19 affected large industries and the service sector, and Cottage, Micro, Small and Medium Enterprises (CMSMEs); interest waiver subsidies (20bn); and housing scheme support.
</t>
    </r>
    <r>
      <rPr>
        <sz val="10"/>
        <color theme="1"/>
        <rFont val="Symbol"/>
        <family val="1"/>
        <charset val="2"/>
      </rPr>
      <t>·</t>
    </r>
    <r>
      <rPr>
        <sz val="10"/>
        <color theme="1"/>
        <rFont val="Arial"/>
        <family val="2"/>
      </rPr>
      <t xml:space="preserve"> Subsidies to the agriculture sector (e.g. purchase of fertilizer and agriculture machinery, government procurement).
</t>
    </r>
    <r>
      <rPr>
        <b/>
        <sz val="10"/>
        <color theme="1"/>
        <rFont val="Arial"/>
        <family val="2"/>
      </rPr>
      <t xml:space="preserve">Forgone revenue: </t>
    </r>
    <r>
      <rPr>
        <sz val="10"/>
        <color theme="1"/>
        <rFont val="Arial"/>
        <family val="2"/>
      </rPr>
      <t xml:space="preserve">
· Income tax relief e.g. increase in tax-free limit (from 2.5 to 3.0 lakh for males, from 3.0 to 3.5 for females), reduction in minimim tax rate from 10% to 5% and in the maximum tax rate from 30% to 25%, and introduction of a tax rebate for taxpayers who file income tax returns online for the first time.
· Corporate tax reductions e.g. reduction in tax rate for non-publicly traded companies from 35% to 32.5%, reduction of tax rate at source of local supply of essential commodities, and witholding tax rate on export proceeds is reduced from 1% to 0.5%. 
· VAT rate reductions (e.g. Advance Tax on imported raw materials for manufacturing industries) and exemptions (penalty and interest in case of failure to submit the VAT return and pay income tax on time).
· Preferential treatment on import duties for various essential raw materials for targeted industries.</t>
    </r>
  </si>
  <si>
    <r>
      <rPr>
        <b/>
        <sz val="10"/>
        <color theme="1"/>
        <rFont val="Arial"/>
        <family val="2"/>
      </rPr>
      <t>Additional spending</t>
    </r>
    <r>
      <rPr>
        <sz val="10"/>
        <color theme="1"/>
        <rFont val="Arial"/>
        <family val="2"/>
      </rPr>
      <t>: Recruitment of additional health workers, expansion of hospital bed capacity, enhanced surveillance, laboratory services, isolation units, equipment, supplies, and communication.</t>
    </r>
  </si>
  <si>
    <r>
      <rPr>
        <b/>
        <sz val="10"/>
        <color theme="1"/>
        <rFont val="Arial"/>
        <family val="2"/>
      </rPr>
      <t>Additional spending (56 bn)</t>
    </r>
    <r>
      <rPr>
        <sz val="10"/>
        <color theme="1"/>
        <rFont val="Arial"/>
        <family val="2"/>
      </rPr>
      <t xml:space="preserve">: Social protection and cash transfers; food relief; and funds for expediting payments of existing obligations to maintain cash flow for businesses during the crisis, rehabilitate road and school infrastructure; hiring of teachers; supply of farm inputs; improve market access for farmers; renovation of tourist facilities.
</t>
    </r>
    <r>
      <rPr>
        <b/>
        <sz val="10"/>
        <color theme="1"/>
        <rFont val="Arial"/>
        <family val="2"/>
      </rPr>
      <t xml:space="preserve">
Forgone revenue (40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</si>
  <si>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</si>
  <si>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r>
      <rPr>
        <b/>
        <sz val="10"/>
        <color theme="1"/>
        <rFont val="Arial"/>
        <family val="2"/>
      </rPr>
      <t xml:space="preserve">Additional spending: </t>
    </r>
    <r>
      <rPr>
        <sz val="10"/>
        <color theme="1"/>
        <rFont val="Arial"/>
        <family val="2"/>
      </rPr>
      <t xml:space="preserve">Cash transfers, food, cash-for-work, pension support, health benefit extension. Support for productivity enhancement in businesses.
Waive the 2% Withholding Tax on exports.
Further tax relief on additional salary and wage expenses and additional expenditures for capital equipment during Income Year 2019-2020 was granted by an order of the President Office on June 12.
</t>
    </r>
    <r>
      <rPr>
        <b/>
        <sz val="10"/>
        <color theme="1"/>
        <rFont val="Arial"/>
        <family val="2"/>
      </rPr>
      <t>Forgone revenue:</t>
    </r>
    <r>
      <rPr>
        <sz val="10"/>
        <color theme="1"/>
        <rFont val="Arial"/>
        <family val="2"/>
      </rPr>
      <t xml:space="preserve"> Exempt electricity tariffs for all households (excluding embassies and international organizations) up to 150 units per month for April, May and June, and 75 units for July.</t>
    </r>
  </si>
  <si>
    <r>
      <rPr>
        <b/>
        <sz val="10"/>
        <color theme="1"/>
        <rFont val="Arial"/>
        <family val="2"/>
      </rPr>
      <t xml:space="preserve">Additional spending </t>
    </r>
    <r>
      <rPr>
        <sz val="10"/>
        <color theme="1"/>
        <rFont val="Arial"/>
        <family val="2"/>
      </rPr>
      <t xml:space="preserve">(39 billion):
</t>
    </r>
    <r>
      <rPr>
        <sz val="10"/>
        <color theme="1"/>
        <rFont val="Symbol"/>
        <family val="1"/>
        <charset val="2"/>
      </rPr>
      <t>·</t>
    </r>
    <r>
      <rPr>
        <sz val="10"/>
        <color theme="1"/>
        <rFont val="Arial"/>
        <family val="2"/>
      </rPr>
      <t xml:space="preserve"> Local governments have been instructed to provide for the daily food needs of vulnerable groups (0.5 percent of GDP).
· There will be tax exemptions for landlords who exempt vulnerable renters from paying one month's rent.
· The government will offer a 10 percent discount on food purchases from its stores.
· The government will provide discounts on utility payments (electricity, internet) and extensions of utility payment deadlines. (0.1 percent of GDP).
· There are support measures targeted to informal sector workers who have lost their jobs due to the ongoing crisis, which includes deploying them in public works projects or paying 25 percent of local daily subsistence wage.
· Employment-creation programs (0.5 percent of GDP).
</t>
    </r>
    <r>
      <rPr>
        <b/>
        <sz val="10"/>
        <color theme="1"/>
        <rFont val="Arial"/>
        <family val="2"/>
      </rPr>
      <t xml:space="preserve">
Forgone revenue</t>
    </r>
    <r>
      <rPr>
        <sz val="10"/>
        <color theme="1"/>
        <rFont val="Arial"/>
        <family val="2"/>
      </rPr>
      <t xml:space="preserve"> (11 billion): Customs duties on the import of medical goods will be waived and the deadline for tax payments will be extended (combined 0.3 percent of GDP).</t>
    </r>
  </si>
  <si>
    <r>
      <rPr>
        <b/>
        <sz val="10"/>
        <color theme="1"/>
        <rFont val="Arial"/>
        <family val="2"/>
      </rPr>
      <t>Additional spending (327 bn):</t>
    </r>
    <r>
      <rPr>
        <sz val="10"/>
        <color theme="1"/>
        <rFont val="Arial"/>
        <family val="2"/>
      </rPr>
      <t xml:space="preserve"> (i) social safety net programs: urgent food aid, subsidies to help the most vulnerable to pay utility bills (water, electricity) and support to diaspora (FCFA 103 billion - 0.72% of GDP), (ii) other economic support measures, such as direct support to heavily hit sectors (FCFA 100 bn - 0.70% of GDP), (iii) some arrears to private sector suppliers will be settled faster than originally anticipated (FCFA 87 billion - 0.61% of GDP), and (iv) action on securing key food and energy supplies (FCFA 22 billion - 0.15% of GDP).
</t>
    </r>
    <r>
      <rPr>
        <b/>
        <sz val="10"/>
        <color theme="1"/>
        <rFont val="Arial"/>
        <family val="2"/>
      </rPr>
      <t xml:space="preserve">
Forgone revenue (40 bn)</t>
    </r>
    <r>
      <rPr>
        <sz val="10"/>
        <color theme="1"/>
        <rFont val="Arial"/>
        <family val="2"/>
      </rPr>
      <t>: Tax rebates for companies that keep their workers on payroll or pay 70% of salary (FCFA 40 billion).</t>
    </r>
  </si>
  <si>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'mn', 'bn', and 'tn' refer to million, billion, and trillion respectively; 'LC bn' refers to local currency billion and 'n.a.' are not available. Numbers in U.S. dollar and percent of GDP are based on October 2020 World Economic Outlook projections for 2020 unless otherwise stated. For Argentina, U.S. dollar values use end-May 2020 exchange rate. G20 = Group of Twenty; AE = Advanced Economy; EM = Emerging Market; LIDC = Low Income Developing Country. </t>
  </si>
  <si>
    <r>
      <t xml:space="preserve">This database summarizes key fiscal measures governments have announced or taken in selected economies in response to the COVID-19 pandemic as of </t>
    </r>
    <r>
      <rPr>
        <sz val="15"/>
        <color rgb="FFFF0000"/>
        <rFont val="Arial"/>
        <family val="2"/>
      </rPr>
      <t>July 31, 2020</t>
    </r>
    <r>
      <rPr>
        <sz val="15"/>
        <color theme="1"/>
        <rFont val="Arial"/>
        <family val="2"/>
      </rPr>
      <t>, expanding the country coverage from the Annex in April 2020 Fiscal Monitor.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those measures in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r>
  </si>
  <si>
    <r>
      <t xml:space="preserve">• Lk11 bn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</si>
  <si>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t>Already in database</t>
  </si>
  <si>
    <r>
      <rPr>
        <b/>
        <sz val="10"/>
        <color theme="1"/>
        <rFont val="Arial"/>
        <family val="2"/>
      </rPr>
      <t>Additional spending</t>
    </r>
    <r>
      <rPr>
        <sz val="10"/>
        <color theme="1"/>
        <rFont val="Arial"/>
        <family val="2"/>
      </rPr>
      <t xml:space="preserve">: Additional spending on healthcare equipment, testing; compensation against COVID-19 related health risks of officials, doctors and field staff; hiring of additional healthcare workers, etc.  
</t>
    </r>
    <r>
      <rPr>
        <b/>
        <sz val="10"/>
        <color theme="1"/>
        <rFont val="Arial"/>
        <family val="2"/>
      </rPr>
      <t xml:space="preserve">
Forgone revenue</t>
    </r>
    <r>
      <rPr>
        <sz val="10"/>
        <color theme="1"/>
        <rFont val="Arial"/>
        <family val="2"/>
      </rPr>
      <t>: The National Board of Revenue has temporarily suspended duties and taxes on imports of medical supplies, including protective equipment and test kits.</t>
    </r>
  </si>
  <si>
    <t>· State utility EPCF will double its electricity subsidies for vulnerable households (€50m)</t>
  </si>
  <si>
    <t>Tax and SSC deferments (RSD 121bn or 2.2 percent of GDP), to be repaid in 24 installments starting from 2021: (i) Deferment of labor taxes and SS contributions for all private companies for three months, with no interests to be applied; (ii) Deferment of Q2 CIT payments; and (iii) Grants and donations exempt from paying VAT.
Deferment of labor taxes and social security contributions for all private companies extended for an additional month (RSD 30 billion).</t>
  </si>
  <si>
    <t>EUR 200mn (0.4 percent of GDP) subsidized loans (1 percent interest rate) to SMEs from the Development Fund</t>
  </si>
  <si>
    <t xml:space="preserve">1/ The country list includes European Union as well, but the total global fiscal support does not include measures announced by the European Union because those are financing the measures by member states, which are included individually. </t>
  </si>
  <si>
    <t>• The Coronavirus SME Guarantee Scheme provides a loan guarantee arrangement between the government and participating banks to cover the immediate cash flow needs of SMEs.</t>
  </si>
  <si>
    <t xml:space="preserve">• Allow China’s state-funded infrastructure projects to use up to 15% of investment for a project to pay wages. Previously only 10 percent was earmarked for worker salaries.
• The central government transfer payment rate to provinces was increased from 3% to 4% for pensions.
• Tax collection retention ratio for local budgets raised to 5% (March 1 to June 30).
</t>
  </si>
  <si>
    <t>• SEK 8.3 bn capital injection to the Scandinavian carrier SAS, the state-owned airport operator Swedavia Lernia (state-owned education and matching firm)
• SEK 3.4 bn capital injection to ALMI (the Swedish SME and Entrepreneur Agency)</t>
  </si>
  <si>
    <t>• Credit guarantees for Swedish airlines (SEK 5 bn). 
• Expansion of the Swedish Export Credit Agency’s credit guarantee framework and the programs under the Swedish Export Credit Corporation (SEK 125 bn).
• Central government guarantees for loans to companies (SEK 100 bn)
• Guarantees to the EU for loans to member states, SURE, and to the European Investment Bank for a guarantee fund for support to companies (SEK 20 bn).</t>
  </si>
  <si>
    <t>Additional spending 238.1 bn → 251 bn, deferred revenue 335 bn → 315 bn; 24th of August updated based on area input</t>
  </si>
  <si>
    <t>Marginal changes. 24th of August, only updated descriptions ATL</t>
  </si>
  <si>
    <t>Changed description of additional expenditures, NO CHANGES PROVIDED 24th AUG in EUR</t>
  </si>
  <si>
    <t>health 0.5 bn to 0.8 bn, additional spending and forgone revenue 1.6 bn to 2.368 bn; NO CHANGES PROVIDED 24th AUG in EUR</t>
  </si>
  <si>
    <t>Additional spending 125.2 bn → 130.6 bn, Accelerated spending and deferred revenue 166 bn→175.5 bn, BTL measures 40 bn → 58.9 bn, guarantees 172→142.3 bn. NO CHANGES PROVIDED 24th AUG in EUR.</t>
  </si>
  <si>
    <t>Guarantees on loans 13 bn →12.9 bn. NO CHANGES PROVIDED 24th AUG in EUR</t>
  </si>
  <si>
    <t xml:space="preserve">Changes to the description of measures (total amounts remain unchanged). </t>
  </si>
  <si>
    <t>No change. NO CHANGES PROVIDED 24th AUG in EUR.</t>
  </si>
  <si>
    <t>Health measures 0.7 bn→2.3 bn: Additional spending and foregone revenue 30.4 bn →34.3 bn.24th of August, contacted desks - that responded that they will not make any changes this round but maybe w new WEO in september)</t>
  </si>
  <si>
    <t>Health measures 2.1 bn→3.3 bn, deferred revenue 10bn→13.8 bn. 24th of August, contacted desks (they sent updates bilateraly, smaller changes in numbers and text)</t>
  </si>
  <si>
    <t>Quasi Fiscal measures 150 bn→250 bn, NO CHANGES PROVIDED IN THE REVIEW 24th of AUGUST in APD</t>
  </si>
  <si>
    <t>Health measures 0.5 bn→0.8 bn, total envelope unchanged; 24th August ATL lowered to 48 bn, marginal text changes</t>
  </si>
  <si>
    <t>Government guarantees 30 bn → 16.5 bn, marginal changes in descriptions, 24th of August - country desk have said numbers might be revised w new WEO submission, will not have new numbers by AUG 25th</t>
  </si>
  <si>
    <t>Lowered additional spending. Removed 18 bn onlending to cashew sector, as not directly covid related, under off budget. 24th of AUG, no changes from AFR, but guy in charge on sick leave, will reach out Wednesday</t>
  </si>
  <si>
    <r>
      <t xml:space="preserve">Included additional measures and increased respective fiscal costs. </t>
    </r>
    <r>
      <rPr>
        <sz val="10"/>
        <color theme="5"/>
        <rFont val="Arial"/>
        <family val="2"/>
      </rPr>
      <t>Updated to reflect comments from departments.</t>
    </r>
  </si>
  <si>
    <r>
      <t xml:space="preserve">Changes to the description of measures (minor) and amounts (substantial). </t>
    </r>
    <r>
      <rPr>
        <sz val="10"/>
        <color theme="5"/>
        <rFont val="Arial"/>
        <family val="2"/>
      </rPr>
      <t>Updated to reflect comments from departments.</t>
    </r>
  </si>
  <si>
    <r>
      <t xml:space="preserve">Only changes to the (fiscal cost) amounts. </t>
    </r>
    <r>
      <rPr>
        <sz val="10"/>
        <color theme="5"/>
        <rFont val="Arial"/>
        <family val="2"/>
      </rPr>
      <t>Updated to reflect comments from departments.</t>
    </r>
  </si>
  <si>
    <r>
      <t xml:space="preserve">Minor changes. </t>
    </r>
    <r>
      <rPr>
        <sz val="10"/>
        <color theme="5"/>
        <rFont val="Arial"/>
        <family val="2"/>
      </rPr>
      <t>Updated to reflect comments from departments.</t>
    </r>
  </si>
  <si>
    <t xml:space="preserve">The country list includes European Union as well, but the total global fiscal support does not include measures announced by the European Union because those are financing the measures by member states, which are included individually. </t>
  </si>
  <si>
    <t>Check: sum of all excluding EU</t>
  </si>
  <si>
    <t>The global estimate of fiscal support includes above-the-line measures of additional spending and foregone revenue, as well as below the line measures and contingent liabilties from gurantees and quasi-fiscal operations.</t>
  </si>
  <si>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</si>
  <si>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rPr>
        <b/>
        <sz val="10"/>
        <color theme="1"/>
        <rFont val="Arial"/>
        <family val="2"/>
      </rPr>
      <t xml:space="preserve">Deferred revenue: </t>
    </r>
    <r>
      <rPr>
        <sz val="10"/>
        <color theme="1"/>
        <rFont val="Arial"/>
        <family val="2"/>
      </rPr>
      <t xml:space="preserve">
• Income tax deferrals for individuals and businesses.
• Extension in declaration deadline of tax payments for households and SMEs.</t>
    </r>
  </si>
  <si>
    <t>• Equity injection for capitalization of Findeter and Bancoldex (Colombian Development Banks) for the purpose of credit lines.
• Equity injection for credit lines for payroll, working capital and loan payments, for SMEs and independent workers and for larger companies in the most affected sectors through the National Guarantee Fund (government capitalization of 0.3 percent of GDP to guarantee around 2.2 percent of GDP of loans).                                                                                                                                                                                        
• A new National Emergency Mitigation Fund (FOME) was announced, where the central government partially finances response measures with resources from regional stabilization funds (FAE, FONPET).</t>
  </si>
  <si>
    <t>Lending program to provide support for small and medium-sized enterprises and firms in tourism sector (1.4 percent of GDP)</t>
  </si>
  <si>
    <t>• Proposal to cut electricity prices by 10 percent for certain enterprises and households, and exempt payment for quarantine zones, with Vietnam Electricity (EVN) bearing costs of price adjustment (0.1 percent of GDP). Moreover, firms receive concessional loans from the development bank (VSBP), financed by the central bank through a refinancing window at zero interest rate, to make salary payments to their workers who are temporarily laid off (0.2 percent of GDP).</t>
  </si>
  <si>
    <t>Tuvalu</t>
  </si>
  <si>
    <t xml:space="preserve">Note: Numbers in U.S. dollar and percent of GDP are based on October 2020 World Economic Outlook unless otherwise stated. For Argentina, U.S. dollar values use end-May 2020 exchange rate. </t>
  </si>
  <si>
    <r>
      <rPr>
        <b/>
        <sz val="10"/>
        <rFont val="Arial"/>
        <family val="2"/>
      </rPr>
      <t>Spending Measures:</t>
    </r>
    <r>
      <rPr>
        <sz val="10"/>
        <rFont val="Arial"/>
        <family val="2"/>
      </rPr>
      <t xml:space="preserve">
Targeted subsidies on private sector wages and social security contributions (for April, May, and June); a subsidy for those part of the informal economy;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t>
    </r>
    <r>
      <rPr>
        <b/>
        <sz val="10"/>
        <rFont val="Arial"/>
        <family val="2"/>
      </rPr>
      <t>Non-Spending Measures:</t>
    </r>
    <r>
      <rPr>
        <sz val="10"/>
        <rFont val="Arial"/>
        <family val="2"/>
      </rPr>
      <t xml:space="preserve">
Lowering the late interest rate for public taxes and duties from 0.03% to 0.015%.
Lowering the penalty rate, by 50% i.e. to 5% for corporates and to 4% for the households.</t>
    </r>
  </si>
  <si>
    <r>
      <rPr>
        <b/>
        <sz val="10"/>
        <color theme="1"/>
        <rFont val="Arial"/>
        <family val="2"/>
      </rPr>
      <t>Additional spending (56 bn)</t>
    </r>
    <r>
      <rPr>
        <sz val="10"/>
        <color theme="1"/>
        <rFont val="Arial"/>
        <family val="2"/>
      </rPr>
      <t xml:space="preserve">: Social protection and cash transfers; food relief; and funds for expediting payments of existing obligations to maintain cash flow for businesses during the crisis, rehabilitate road and school infrastructure; hiring of teachers; supply of farm inputs; improve market access for farmers; renovation of tourist facilities.
</t>
    </r>
    <r>
      <rPr>
        <b/>
        <sz val="10"/>
        <color theme="1"/>
        <rFont val="Arial"/>
        <family val="2"/>
      </rPr>
      <t xml:space="preserve">
Forgone revenue (186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t>
    </r>
  </si>
  <si>
    <r>
      <rPr>
        <b/>
        <sz val="10"/>
        <color theme="1"/>
        <rFont val="Arial"/>
        <family val="2"/>
      </rPr>
      <t>Additional spending (IDR 252.2 tn):</t>
    </r>
    <r>
      <rPr>
        <sz val="10"/>
        <color theme="1"/>
        <rFont val="Arial"/>
        <family val="2"/>
      </rPr>
      <t xml:space="preserve">
• The first fiscal package of IDR 10.3 tn includes support to the tourism sector (discounts on airplane tickets and jet-fuel) and to low-income households (social assistance and subsidy for home buyers). 
• The third fiscal package includes IDR 110 tn additional social assistance spending (later expanded to IDR 172 tn):   increasing benefits and coverage of existing social safety nets such as food aid and unemployment benefits, and electricity subsidies. 
• A fourth stimulus package is announced on May 19 as part of a national economic recovery program.</t>
    </r>
    <r>
      <rPr>
        <b/>
        <sz val="10"/>
        <color theme="1"/>
        <rFont val="Arial"/>
        <family val="2"/>
      </rPr>
      <t xml:space="preserve">
Forgone revenue (IDR 96.3 tn): 
</t>
    </r>
    <r>
      <rPr>
        <sz val="10"/>
        <color theme="1"/>
        <rFont val="Arial"/>
        <family val="2"/>
      </rPr>
      <t>• The first fiscal package includes tax cuts for the tourism sector.
• The second fiscal package of IDR 33.2 tn includes income tax exemptions to workers in the industrial sectors (with an income ceiling).
• The third fiscal package includes various tax reliefs and incentives: exemption and reduction of income taxes (with an income ceiling) and a reduction of the corporate income tax from 25 percent to 22 percent.</t>
    </r>
  </si>
  <si>
    <t>• Capital injection to SOEs.</t>
  </si>
  <si>
    <t xml:space="preserve">• The Government’s Structured Finance Support Fund provides up to AUD15 bn to the Australian Office of Financial Management to support continued access to structured finance markets used by smaller lenders, providing both consumer and business credit. </t>
  </si>
  <si>
    <r>
      <rPr>
        <b/>
        <sz val="10"/>
        <color theme="1"/>
        <rFont val="Arial"/>
        <family val="2"/>
      </rPr>
      <t xml:space="preserve">Additional spending (€0.05 bn): </t>
    </r>
    <r>
      <rPr>
        <sz val="10"/>
        <color theme="1"/>
        <rFont val="Arial"/>
        <family val="2"/>
      </rPr>
      <t>The European Commission redirected funding of €47.5 mn towards research on COVID-19 vaccine development, treatment, and diagnostics.</t>
    </r>
  </si>
  <si>
    <t>•  The government has put in place a £1 bn program to support firms driving innovation and development through grants and loans.
•  The government has provided a £30 mn convertible loan to the steel company, Celsa.</t>
  </si>
  <si>
    <r>
      <rPr>
        <b/>
        <sz val="10"/>
        <color theme="1"/>
        <rFont val="Arial"/>
        <family val="2"/>
      </rPr>
      <t>Deferred revenue</t>
    </r>
    <r>
      <rPr>
        <sz val="10"/>
        <color theme="1"/>
        <rFont val="Arial"/>
        <family val="2"/>
      </rPr>
      <t>: 
• Coronavirus Aid, Relief, and Economic Security Act (March 27, 2020) includes extension of IRS income tax filing deadline by 90 days and delay of employers' payroll taxes to 2021 and 2022. 
• The federal government (through Executive Orders by President Trump on August 8, 2020) introduced deferral of employee social security payroll tax ($1.7 bn) and extended the delay payment of federal student loans ($4.3 bn).</t>
    </r>
  </si>
  <si>
    <r>
      <rPr>
        <b/>
        <sz val="10"/>
        <rFont val="Arial"/>
        <family val="2"/>
      </rPr>
      <t>Accelerated spending:</t>
    </r>
    <r>
      <rPr>
        <sz val="10"/>
        <rFont val="Arial"/>
        <family val="2"/>
      </rPr>
      <t xml:space="preserve"> Accelerated issuance of an increase in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In late June, the government announced that it will allow companies suffering from serious production or operation difficulties to postpone social insurance payments until the end of 2020. Collection of income tax for small and micro enterprises and self-employed deferred until 2021.</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</si>
  <si>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 from April to September.</t>
    </r>
  </si>
  <si>
    <r>
      <rPr>
        <b/>
        <sz val="10"/>
        <color theme="1"/>
        <rFont val="Arial"/>
        <family val="2"/>
      </rPr>
      <t xml:space="preserve">Additional spending (SAR 10.6 bn): 
</t>
    </r>
    <r>
      <rPr>
        <sz val="10"/>
        <color theme="1"/>
        <rFont val="Arial"/>
        <family val="2"/>
      </rPr>
      <t xml:space="preserve">• Wage benefits to employers who keep their workers to be provided through the unemployment insurance scheme, SANED (SAR 9 bn). This wage benefits have been extended. 
• Ministry of Energy announced temporary electricity subsidies to commercial, industrial, and agricultural sectors (SAR 0.9 bn).
• The Ministry of Finance program to help businesses defer loan payment due this year (SAR 0.67 bn). 
</t>
    </r>
  </si>
  <si>
    <r>
      <rPr>
        <b/>
        <sz val="10"/>
        <color theme="1"/>
        <rFont val="Arial"/>
        <family val="2"/>
      </rPr>
      <t>Additional spending</t>
    </r>
    <r>
      <rPr>
        <sz val="10"/>
        <color theme="1"/>
        <rFont val="Arial"/>
        <family val="2"/>
      </rPr>
      <t xml:space="preserve">: RON3.8 billion for health sector  o/w RON0.5 billion for increase in healthcare workers' wages and RON1 billion for sick leaves; RON2.25 billion under the World Bank disaster and risk management facility; and RON0.4 billion additional resources for health budget. Financial support to quarantine centers (0.7 billion RON)
Purchase of medical and protective equipment (reallocation of EU Funds) (1.75 billion RON); Increasing the health budget via 2nd budget revision for health programs, sick leaves (2.9 billion RON)
</t>
    </r>
    <r>
      <rPr>
        <b/>
        <sz val="10"/>
        <color theme="1"/>
        <rFont val="Arial"/>
        <family val="2"/>
      </rPr>
      <t xml:space="preserve">
Forgone revenue: </t>
    </r>
    <r>
      <rPr>
        <sz val="10"/>
        <color theme="1"/>
        <rFont val="Arial"/>
        <family val="2"/>
      </rPr>
      <t>Capping the fee on medicine sales; suspending VAT for medical imports.</t>
    </r>
  </si>
  <si>
    <r>
      <rPr>
        <sz val="10"/>
        <color theme="1"/>
        <rFont val="Symbol"/>
        <family val="1"/>
        <charset val="2"/>
      </rPr>
      <t>·</t>
    </r>
    <r>
      <rPr>
        <sz val="10"/>
        <color theme="1"/>
        <rFont val="Arial"/>
        <family val="2"/>
      </rPr>
      <t xml:space="preserve"> Loan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r>
      <rPr>
        <sz val="10"/>
        <color theme="1"/>
        <rFont val="Symbol"/>
        <family val="1"/>
        <charset val="2"/>
      </rPr>
      <t>·</t>
    </r>
    <r>
      <rPr>
        <sz val="10"/>
        <color theme="1"/>
        <rFont val="Arial"/>
        <family val="2"/>
      </rPr>
      <t xml:space="preserve"> State guarantees for leasing of work equipment for SMEs. The guarantee is up to 80% loan for IT equipment, and 60% for other technological equipment.  The maximum value of the financing will be 5,000,000 RON. The leasing period will be 72 months.
</t>
    </r>
    <r>
      <rPr>
        <sz val="10"/>
        <color theme="1"/>
        <rFont val="Symbol"/>
        <family val="1"/>
        <charset val="2"/>
      </rPr>
      <t>·</t>
    </r>
    <r>
      <rPr>
        <sz val="10"/>
        <color theme="1"/>
        <rFont val="Arial"/>
        <family val="2"/>
      </rPr>
      <t xml:space="preserve"> State guarantee scheme for large companies to be implemented by state-owned Eximbank. The guarantee is up to 80% of loan
</t>
    </r>
    <r>
      <rPr>
        <sz val="10"/>
        <color theme="1"/>
        <rFont val="Symbol"/>
        <family val="1"/>
        <charset val="2"/>
      </rPr>
      <t xml:space="preserve">· </t>
    </r>
    <r>
      <rPr>
        <sz val="10"/>
        <color theme="1"/>
        <rFont val="Arial"/>
        <family val="2"/>
      </rPr>
      <t xml:space="preserve">State guarantees for factoring (SMEs)
</t>
    </r>
    <r>
      <rPr>
        <sz val="10"/>
        <color theme="1"/>
        <rFont val="Symbol"/>
        <family val="1"/>
        <charset val="2"/>
      </rPr>
      <t xml:space="preserve">· </t>
    </r>
    <r>
      <rPr>
        <sz val="10"/>
        <color theme="1"/>
        <rFont val="Arial"/>
        <family val="2"/>
      </rPr>
      <t>State guarantees for holiday vouchers and trade credit insurance (SMEs)</t>
    </r>
  </si>
  <si>
    <t>OK</t>
  </si>
  <si>
    <t>Desk check for difference</t>
  </si>
  <si>
    <t>Y</t>
  </si>
  <si>
    <t>No difference from survey</t>
  </si>
  <si>
    <t>desk verified</t>
  </si>
  <si>
    <t>Desk verified</t>
  </si>
  <si>
    <t xml:space="preserve">BTL/ guarantees 830 or 860 ok. </t>
  </si>
  <si>
    <t>To check</t>
  </si>
  <si>
    <t>Desks have updated the SPR survey but didn't got pick up (should be 4.3 LCU ATL and 6 % of GDP</t>
  </si>
  <si>
    <t>Same as original entries; desk didn't put numbers but description same</t>
  </si>
  <si>
    <t>checking but looks ok</t>
  </si>
  <si>
    <t>Same with SPR survey</t>
  </si>
  <si>
    <t>How come it didn't pick up the health sector number (0.3 percent of GDP); total is 2.8 percent of GDP</t>
  </si>
  <si>
    <t>matching SPR survey; limited details</t>
  </si>
  <si>
    <t>to check with Paul</t>
  </si>
  <si>
    <r>
      <rPr>
        <b/>
        <sz val="10"/>
        <color theme="1"/>
        <rFont val="Arial"/>
        <family val="2"/>
      </rPr>
      <t>Non-Spending Measures:</t>
    </r>
    <r>
      <rPr>
        <sz val="10"/>
        <color theme="1"/>
        <rFont val="Arial"/>
        <family val="2"/>
      </rPr>
      <t xml:space="preserve">
Abolished the import duty on medical supplies</t>
    </r>
  </si>
  <si>
    <t>Several interest free or low interest rate loans to SMEs from the MKD development banks channeled through commercial banks</t>
  </si>
  <si>
    <t>matching SPR survey</t>
  </si>
  <si>
    <t>same as SPR survey</t>
  </si>
  <si>
    <t>Desks have revised total spending 0.165996 which is about 2.9 percent of GDP</t>
  </si>
  <si>
    <t>Verified with desk</t>
  </si>
  <si>
    <t>same with SPR survey</t>
  </si>
  <si>
    <t xml:space="preserve">Fix the negative numbers; SPR survey has Nonhealth ATL of 9.8 bn LCU. </t>
  </si>
  <si>
    <t>SPR survey has some positive numbers 0.1 percent of GDP</t>
  </si>
  <si>
    <t>Another 2 percent of GDP in countercyclical support is expected to come through the stronger automatic stabilizers—including from weaker tax receipts and higher social benefits.</t>
  </si>
  <si>
    <t>Loans to banks for on-lending to the cashew sector.</t>
  </si>
  <si>
    <t xml:space="preserve">Desk has updated the SPR survey; ATL is 5.5 percent of GDP in the SPR survey. </t>
  </si>
  <si>
    <t>Desk verified; they have revised the SPR survey</t>
  </si>
  <si>
    <t xml:space="preserve">desk preferred to skip the detailed matrix. </t>
  </si>
  <si>
    <t>OK; fixed</t>
  </si>
  <si>
    <t>OK fixed</t>
  </si>
  <si>
    <t>Ok fixed</t>
  </si>
  <si>
    <t>Figure 1.1.2</t>
  </si>
  <si>
    <t>The global estimate of fiscal support includes above-the-line measures of additional spending and foregone revenue, as well as below the line measures and contingent liabilities from guarantees and quasi-fiscal operations.</t>
  </si>
  <si>
    <t xml:space="preserve">Verified with desk but hasn't been submitted to SPR survey; now hard coded in… </t>
  </si>
  <si>
    <r>
      <rPr>
        <b/>
        <sz val="10"/>
        <color theme="1"/>
        <rFont val="Arial"/>
        <family val="2"/>
      </rPr>
      <t>Additional spending</t>
    </r>
    <r>
      <rPr>
        <sz val="10"/>
        <color theme="1"/>
        <rFont val="Arial"/>
        <family val="2"/>
      </rPr>
      <t xml:space="preserve">: Paying 75 percent of the gross wage to employees of companies facing difficulties (RON4 billion); paying 75 percent of gross wage to affected self-employed and individual enterprises (RON2 billion); covering partially the wages of parents staying home when schools are closed (RON1.5 billion); Reserve Fund (3 billion RON); continue to pay technical unemployment benefits to those returning to work of up to 41% of base wage (for 3 months) (3.3 billion RON; The state finances 75% of the gross salary for professional athletes (160 million RON); employers hiring job-seekers over 50 or below 30 or Romanian citizens returning to the country after losing their jobs abroad, can receive a monthly allowance of 50% of the gross salary conditioned to maintaining the employment relationship for one additional year after the end of the hiring support measure and quarantine days are treated as paid sick leave. 
</t>
    </r>
    <r>
      <rPr>
        <b/>
        <sz val="10"/>
        <color theme="1"/>
        <rFont val="Arial"/>
        <family val="2"/>
      </rPr>
      <t xml:space="preserve">
Forgone revenue:</t>
    </r>
    <r>
      <rPr>
        <sz val="10"/>
        <color theme="1"/>
        <rFont val="Arial"/>
        <family val="2"/>
      </rPr>
      <t xml:space="preserve"> 5 to 10 percent discount for corporate income tax payments.</t>
    </r>
    <r>
      <rPr>
        <sz val="10"/>
        <color theme="1"/>
        <rFont val="Symbol"/>
        <family val="1"/>
        <charset val="2"/>
      </rPr>
      <t xml:space="preserve">
</t>
    </r>
  </si>
  <si>
    <r>
      <rPr>
        <b/>
        <sz val="10"/>
        <rFont val="Arial"/>
        <family val="2"/>
      </rPr>
      <t>Additional spending:</t>
    </r>
    <r>
      <rPr>
        <sz val="10"/>
        <rFont val="Arial"/>
        <family val="2"/>
      </rPr>
      <t xml:space="preserve"> 
Wage subsidies (RSD 93bn):
(i) Payment of 3 minimum wages for all employees in SMEs and entrepreneurs (about 900,000 employees)
(ii) Payment of 50 perfect of minimum wages to large companies for employees who are not working
One-off payment to all pensioners (RSD 7bn)
New loans to SMEs from the Development Fund (RSD 24bn)
Universal cash transfer of EUR 100 to each citizen over 18 years old (about RSD 70bn)
Support to 14,000 most vulnerable women in 50 municipalities across Serbia (worth RSD 12bn) in hygiene packages and essential foods</t>
    </r>
  </si>
  <si>
    <t>There are bank guarantees to the government for unpaid taxes beyond the suspension period announced. Credit support to the private sector in the form of loan guarantees worth 50 bn supporting a total of 150 bn in new loans to private sector.</t>
  </si>
  <si>
    <t xml:space="preserve">• Government guarantees for bank lending to micro, small, and medium enterprises (IDR 150 tn), expected to be financed by Bank of Indonesia's purchase of new government recovery bonds. 
</t>
  </si>
  <si>
    <r>
      <rPr>
        <b/>
        <sz val="10"/>
        <color theme="1"/>
        <rFont val="Arial"/>
        <family val="2"/>
      </rPr>
      <t>Additional spending:
•</t>
    </r>
    <r>
      <rPr>
        <sz val="10"/>
        <color theme="1"/>
        <rFont val="Arial"/>
        <family val="2"/>
      </rPr>
      <t xml:space="preserve"> Compensation of up to 90 percent of labor costs for companies expecting a reduction in revenues of 20 percent or more; compensation for affected sectors (for example, hospitality services and travel). </t>
    </r>
    <r>
      <rPr>
        <b/>
        <sz val="10"/>
        <color theme="1"/>
        <rFont val="Arial"/>
        <family val="2"/>
      </rPr>
      <t xml:space="preserve">
• </t>
    </r>
    <r>
      <rPr>
        <sz val="10"/>
        <color theme="1"/>
        <rFont val="Arial"/>
        <family val="2"/>
      </rPr>
      <t>Income support for entrepreneurs and self-employed (administered at municipal and regional level) for a period of three months through expedited procedures.</t>
    </r>
    <r>
      <rPr>
        <b/>
        <sz val="10"/>
        <color theme="1"/>
        <rFont val="Arial"/>
        <family val="2"/>
      </rPr>
      <t xml:space="preserve">
• </t>
    </r>
    <r>
      <rPr>
        <sz val="10"/>
        <color theme="1"/>
        <rFont val="Arial"/>
        <family val="2"/>
      </rPr>
      <t>Support for start-ups and small innovation companies through loans provided by government regional agencies.</t>
    </r>
    <r>
      <rPr>
        <b/>
        <sz val="10"/>
        <color theme="1"/>
        <rFont val="Arial"/>
        <family val="2"/>
      </rPr>
      <t xml:space="preserve"> 
• </t>
    </r>
    <r>
      <rPr>
        <sz val="10"/>
        <color theme="1"/>
        <rFont val="Arial"/>
        <family val="2"/>
      </rPr>
      <t>Scaling up of the short-time working scheme (unemployment benefit compensation available to companies needing to reduce their staff by at least 20 percent).</t>
    </r>
    <r>
      <rPr>
        <b/>
        <sz val="10"/>
        <color theme="1"/>
        <rFont val="Arial"/>
        <family val="2"/>
      </rPr>
      <t xml:space="preserve"> 
• </t>
    </r>
    <r>
      <rPr>
        <sz val="10"/>
        <color theme="1"/>
        <rFont val="Arial"/>
        <family val="2"/>
      </rPr>
      <t>Allowances for SMEs affected by the outbreak to help them finance their fixed costs. 
• On August 28, the government announced the third support package which primarily aims at expanding measures already in place on the expenditure side through June 2021. This new package includes additional expenditure of 12.5 billion (or 1.7 percent of GDP), of which 1.5 billion of public investment.</t>
    </r>
    <r>
      <rPr>
        <b/>
        <sz val="10"/>
        <color theme="1"/>
        <rFont val="Arial"/>
        <family val="2"/>
      </rPr>
      <t xml:space="preserve">
Forgone revenue:
• </t>
    </r>
    <r>
      <rPr>
        <sz val="10"/>
        <color theme="1"/>
        <rFont val="Arial"/>
        <family val="2"/>
      </rPr>
      <t>Reduction of tourist taxes and taxes in the culture sector</t>
    </r>
    <r>
      <rPr>
        <b/>
        <sz val="10"/>
        <color theme="1"/>
        <rFont val="Arial"/>
        <family val="2"/>
      </rPr>
      <t xml:space="preserve">.
• </t>
    </r>
    <r>
      <rPr>
        <sz val="10"/>
        <color theme="1"/>
        <rFont val="Arial"/>
        <family val="2"/>
      </rPr>
      <t xml:space="preserve">The interest rate on tax deferrals is reduced from 4% to just above 0%. </t>
    </r>
  </si>
  <si>
    <r>
      <rPr>
        <b/>
        <sz val="10"/>
        <rFont val="Arial"/>
        <family val="2"/>
      </rPr>
      <t>Additional spending:</t>
    </r>
    <r>
      <rPr>
        <sz val="10"/>
        <rFont val="Arial"/>
        <family val="2"/>
      </rPr>
      <t xml:space="preserve"> including on Covid-19 treatment (TL1.4 bn), new hospitals (TL5 bn), and performance pay for medics (TL6 bn).</t>
    </r>
  </si>
  <si>
    <r>
      <rPr>
        <b/>
        <sz val="10"/>
        <rFont val="Arial"/>
        <family val="2"/>
      </rPr>
      <t xml:space="preserve">Additional spending: 
</t>
    </r>
    <r>
      <rPr>
        <sz val="10"/>
        <rFont val="Arial"/>
        <family val="2"/>
      </rPr>
      <t xml:space="preserve">• Raised the minimum pension and cash assistance to families in need.
• Increased employment protection by loosening short-term work allowance rules. On July 24, a new bill mandated the state to cover the employee and employer shares of social security contributions for three months after a business exits the short-term work allowance system.
• Subsidies to firms for workers placed on unpaid leave and for workers' salaries in firms affected by COVID-19.
</t>
    </r>
    <r>
      <rPr>
        <b/>
        <sz val="10"/>
        <rFont val="Arial"/>
        <family val="2"/>
      </rPr>
      <t xml:space="preserve">
Forgone revenue: 
</t>
    </r>
    <r>
      <rPr>
        <sz val="10"/>
        <rFont val="Arial"/>
        <family val="2"/>
      </rPr>
      <t xml:space="preserve">• Reduced taxes for affected industries (particularly tourism): hotel accommodation tax will be suspended until November;
• VAT rate on internal travel reduced from 18% to 1%, 
• On July 31, VAT rate on several affected services sectors, including business rental services, were reduced temporarily till the end of 2020. The personal income tax on rental income and corporate withholding tax for certain lease payments have also been reduced to 10% from 20% previously till end-2020.
</t>
    </r>
  </si>
  <si>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•Tax deferrals for the self-employed, farmers, tailors, grocers, lawyers, financial advisers, architects, engineers, doctors, and dentists. 
• Tax deferrals for those aged over 65 or those with chronic illnesses.
• Postponed payments regarding withholding tax returns and VAT declarations, as well as Social Security Contribution premiums (e.g., for retail/shopping malls, iron-steel, automobiles, logistics-transportation sectors).
• Land occupation and revenue sharing payments in leasing of hotels postponed for 6 months.
• Accommodation tax deferred.
• Retail, shopping malls, iron-steel, automobiles, logistics-transportation, etc. are offered to postpone VAT and Social Security Contribution. </t>
    </r>
  </si>
  <si>
    <r>
      <rPr>
        <b/>
        <sz val="10"/>
        <color theme="1"/>
        <rFont val="Arial"/>
        <family val="2"/>
      </rPr>
      <t>Additional spending (12.941 bn):</t>
    </r>
    <r>
      <rPr>
        <sz val="10"/>
        <color theme="1"/>
        <rFont val="Arial"/>
        <family val="2"/>
      </rPr>
      <t xml:space="preserve">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meals etc. </t>
    </r>
  </si>
  <si>
    <t xml:space="preserve">• Loans through the State Financial Fund for Tourism Competitiveness (FOCIT) to promote the transformation of the tourism sector towards a more sustainable business model (€515 mn).
• Loans for the industrial sector to promote digital transformation and modernization (€124 mn).
</t>
  </si>
  <si>
    <r>
      <rPr>
        <b/>
        <sz val="10"/>
        <color theme="1"/>
        <rFont val="Arial"/>
        <family val="2"/>
      </rPr>
      <t xml:space="preserve">Additional spending: </t>
    </r>
    <r>
      <rPr>
        <sz val="10"/>
        <color theme="1"/>
        <rFont val="Arial"/>
        <family val="2"/>
      </rPr>
      <t xml:space="preserve">
• Provide support to households, including a cash payout to all Singaporeans, and additional payments for lower-income individuals and the unemployed. 
• Provide support to businesses and workers, including wage subsidies, job creation, support to cover rental costs, an enhancement of financing schemes, and additional support for industries directly affected and the self-employed.
• Other measures: e.g. Economic resilience package.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and faster write-downs for qualifying investments. </t>
    </r>
  </si>
  <si>
    <t>• First financial support program for small merchants (KRW 16.4 tn).
• Second financial support program for small merchants (KRW 10.0 tn).
• Full &amp; special guarantees for SMEs and small merchants provided by state-backed financial institutions (policy banks) (KRW 16.8 tn).
• Preferential guarantees for SMEs and export companies (KRW 7.9 tn).
• P-CBO for companies affected by COVID-19 (KRW 11.7 tn).
• Guarantees/loans related to trade financing and overseas projects (KRW 6 tn).
• Guarantees/loans for venture capital and start-up (KRW 2.1 tn).</t>
  </si>
  <si>
    <t>1.3 percent of GDP is the estimated health cost related to COVID control and prevention, including the establishment of necessary facilities (0.7 percent of GDP), additional medical supplies (0.2 percent of GDP) , basic health service COVID at local level (0.1 percent of GDP), additional health insurance (0.2 percent of GDP), and other COVID related health spending (0.1 percent of GDP).</t>
  </si>
  <si>
    <t>Desk provided info Oct 6</t>
  </si>
  <si>
    <r>
      <t xml:space="preserve">• Creation of a fund for public donation to the health sector: TND 186 mn
</t>
    </r>
    <r>
      <rPr>
        <sz val="10"/>
        <color theme="1"/>
        <rFont val="Symbol"/>
        <family val="1"/>
        <charset val="2"/>
      </rPr>
      <t>·</t>
    </r>
    <r>
      <rPr>
        <sz val="6.6"/>
        <color theme="1"/>
        <rFont val="Arial"/>
        <family val="2"/>
      </rPr>
      <t xml:space="preserve"> </t>
    </r>
    <r>
      <rPr>
        <sz val="10"/>
        <color theme="1"/>
        <rFont val="Arial"/>
        <family val="2"/>
      </rPr>
      <t xml:space="preserve">Creation of an investment fund of TND 500 mn (with initial 100 mn) on the initiative of the Caisse des Dépôts et des Consignations in order to finance strategic private companies.
</t>
    </r>
    <r>
      <rPr>
        <sz val="10"/>
        <color theme="1"/>
        <rFont val="Symbol"/>
        <family val="1"/>
        <charset val="2"/>
      </rPr>
      <t>·</t>
    </r>
    <r>
      <rPr>
        <sz val="10"/>
        <color theme="1"/>
        <rFont val="Arial"/>
        <family val="2"/>
      </rPr>
      <t xml:space="preserve"> Creation of a “bridging fund” of TND 100 mn on the initiative of the CDC, for the repurchase of shares in investment funds for companies in strategic sectors experiencing difficulties.
</t>
    </r>
    <r>
      <rPr>
        <sz val="10"/>
        <color theme="1"/>
        <rFont val="Symbol"/>
        <family val="1"/>
        <charset val="2"/>
      </rPr>
      <t>·</t>
    </r>
    <r>
      <rPr>
        <sz val="10"/>
        <color theme="1"/>
        <rFont val="Arial"/>
        <family val="2"/>
      </rPr>
      <t xml:space="preserve"> Creation, at the initiative of the CDC, of an investment mechanism of TD 100 mn for the acquisition of equipment for hospitals and public health establishments. </t>
    </r>
  </si>
  <si>
    <r>
      <rPr>
        <b/>
        <sz val="10"/>
        <color theme="1"/>
        <rFont val="Arial"/>
        <family val="2"/>
      </rPr>
      <t xml:space="preserve">Additional spending </t>
    </r>
    <r>
      <rPr>
        <sz val="10"/>
        <color theme="1"/>
        <rFont val="Arial"/>
        <family val="2"/>
      </rPr>
      <t xml:space="preserve">(12,950 billion):
</t>
    </r>
    <r>
      <rPr>
        <sz val="10"/>
        <color theme="1"/>
        <rFont val="Symbol"/>
        <family val="1"/>
        <charset val="2"/>
      </rPr>
      <t>·</t>
    </r>
    <r>
      <rPr>
        <sz val="10"/>
        <color theme="1"/>
        <rFont val="Arial"/>
        <family val="2"/>
      </rPr>
      <t xml:space="preserve"> Expanded the number of recipients of social benefits by about 35 percent; 
</t>
    </r>
    <r>
      <rPr>
        <sz val="10"/>
        <color theme="1"/>
        <rFont val="Symbol"/>
        <family val="1"/>
        <charset val="2"/>
      </rPr>
      <t>·</t>
    </r>
    <r>
      <rPr>
        <sz val="10"/>
        <color theme="1"/>
        <rFont val="Arial"/>
        <family val="2"/>
      </rPr>
      <t xml:space="preserve"> Raised spending to cover the average salary for worker taking care of their children during the quarantine period. 
</t>
    </r>
    <r>
      <rPr>
        <sz val="10"/>
        <color theme="1"/>
        <rFont val="Symbol"/>
        <family val="1"/>
        <charset val="2"/>
      </rPr>
      <t>·</t>
    </r>
    <r>
      <rPr>
        <sz val="10"/>
        <color theme="1"/>
        <rFont val="Arial"/>
        <family val="2"/>
      </rPr>
      <t xml:space="preserve"> Increased spending to cover leave payments of employees of age 60+ with chronic illnesses (that must stay at home during quarantine period).
</t>
    </r>
    <r>
      <rPr>
        <sz val="10"/>
        <color theme="1"/>
        <rFont val="Symbol"/>
        <family val="1"/>
        <charset val="2"/>
      </rPr>
      <t>·</t>
    </r>
    <r>
      <rPr>
        <sz val="10"/>
        <color theme="1"/>
        <rFont val="Arial"/>
        <family val="2"/>
      </rPr>
      <t xml:space="preserve"> Provided assistance to affected businesses via revolving facilities, debt service deferrals at subsidized interest.
</t>
    </r>
    <r>
      <rPr>
        <sz val="10"/>
        <color theme="1"/>
        <rFont val="Symbol"/>
        <family val="1"/>
        <charset val="2"/>
      </rPr>
      <t>·</t>
    </r>
    <r>
      <rPr>
        <sz val="10"/>
        <color theme="1"/>
        <rFont val="Arial"/>
        <family val="2"/>
      </rPr>
      <t xml:space="preserve"> Increased spending for public works to support infrastructure in the regions and support employment. 
</t>
    </r>
    <r>
      <rPr>
        <b/>
        <sz val="10"/>
        <color theme="1"/>
        <rFont val="Arial"/>
        <family val="2"/>
      </rPr>
      <t xml:space="preserve">Forgone revenue </t>
    </r>
    <r>
      <rPr>
        <sz val="10"/>
        <color theme="1"/>
        <rFont val="Arial"/>
        <family val="2"/>
      </rPr>
      <t xml:space="preserve">(4750 billion):
</t>
    </r>
    <r>
      <rPr>
        <sz val="10"/>
        <color theme="1"/>
        <rFont val="Symbol"/>
        <family val="1"/>
        <charset val="2"/>
      </rPr>
      <t>·</t>
    </r>
    <r>
      <rPr>
        <sz val="10"/>
        <color theme="1"/>
        <rFont val="Arial"/>
        <family val="2"/>
      </rPr>
      <t xml:space="preserve"> Reduction of minimum payment of social tax for individual entrepreneurs (a single tax for small businesses) from UZS 223,000 to UZS 111,500 per month during Apr-Oct 2020: (Central government). Reduced tax rate for usage of water resources for farmland by 50 percent: (Central government); Suspension of tourism tax during Apr-Jul 2020: (Central government); Postponing property tax and land tax during Apr-Oct 2020 - 6 months interest free deferrals: (Central government); Extending the moratorium on tax audits until 2021: (Central government)
Delaying tax declarations for 2019 income taxes from April to August: (Central government); 
</t>
    </r>
    <r>
      <rPr>
        <sz val="10"/>
        <color theme="1"/>
        <rFont val="Symbol"/>
        <family val="1"/>
        <charset val="2"/>
      </rPr>
      <t>·</t>
    </r>
    <r>
      <rPr>
        <sz val="10"/>
        <color theme="1"/>
        <rFont val="Arial"/>
        <family val="2"/>
      </rPr>
      <t xml:space="preserve"> Tourism and hotel activities tax relief: These activities are exempt from paying property and land tax until end of 2020, and social tax rate is reduced from 12 to 1 percent (Central government). SMEs whose revenue drops 50% (m-o-m) can defer payments of turnover tax, land tax, property tax, social and water use tax until October 2020.
</t>
    </r>
    <r>
      <rPr>
        <sz val="10"/>
        <color theme="1"/>
        <rFont val="Symbol"/>
        <family val="1"/>
        <charset val="2"/>
      </rPr>
      <t>·</t>
    </r>
    <r>
      <rPr>
        <sz val="10"/>
        <color theme="1"/>
        <rFont val="Arial"/>
        <family val="2"/>
      </rPr>
      <t>Exemption of income tax for self employees</t>
    </r>
  </si>
  <si>
    <t>Government equity injections and new loans to SOEs to repay debt and finance additional investment. Rollover loans issued under the government program for individual entrepreneurs.</t>
  </si>
  <si>
    <t xml:space="preserve">Desk provided new info (BTL should be 0) Oct 5. </t>
  </si>
  <si>
    <t>Desk new info on Oct 5</t>
  </si>
  <si>
    <t>0.5 percent of GDP is the estimated cost of additional social spending, including through expanding employment program in labor-intensive construction sector, e.g. food for work program (0.3 percent of GDP) as well as training for work in manufacturing and services sectors and subsidy for hiring (0.2 percent of GDP).</t>
  </si>
  <si>
    <r>
      <rPr>
        <b/>
        <sz val="10"/>
        <color theme="1"/>
        <rFont val="Arial"/>
        <family val="2"/>
      </rPr>
      <t xml:space="preserve">Additional spending: </t>
    </r>
    <r>
      <rPr>
        <sz val="10"/>
        <color theme="1"/>
        <rFont val="Arial"/>
        <family val="2"/>
      </rPr>
      <t xml:space="preserve">
· Expansion of existing social transfer programs for vulnerable households, including allowance programs and food aid distribution; Cash assistance to the jobless poor affected by COVID-19 (Corona-Cash). 
· Wage support (50bn loan) for export-oriented industries; working capital loan interest subsidies (30bn) for COVID-19 affected large industries and the service sector, and Cottage, Micro, Small and Medium Enterprises (CMSMEs); interest waiver subsidies (20bn); and housing scheme support.
· Subsidies to the agriculture sector (e.g. purchase of fertilizer and agriculture machinery, government procurement).
</t>
    </r>
    <r>
      <rPr>
        <b/>
        <sz val="10"/>
        <color theme="1"/>
        <rFont val="Arial"/>
        <family val="2"/>
      </rPr>
      <t xml:space="preserve">Forgone revenue: </t>
    </r>
    <r>
      <rPr>
        <sz val="10"/>
        <color theme="1"/>
        <rFont val="Arial"/>
        <family val="2"/>
      </rPr>
      <t xml:space="preserve">
· Income tax relief e.g. increase in tax-free limit (from 2.5 to 3.0 lakh for males, from 3.0 to 3.5 for females), reduction in minimum tax rate from 10% to 5% and in the maximum tax rate from 30% to 25%, and introduction of a tax rebate for taxpayers who file income tax returns online for the first time.
· Corporate tax reductions e.g. reduction in tax rate for non-publicly traded companies from 35% to 32.5%, reduction of tax rate at source of local supply of essential commodities, and withholding tax rate on export proceeds is reduced from 1% to 0.5%. 
· VAT rate reductions (e.g. Advance Tax on imported raw materials for manufacturing industries) and exemptions (penalty and interest in case of failure to submit the VAT return and pay income tax on time).
· Preferential treatment on import duties for various essential raw materials for targeted industries.</t>
    </r>
  </si>
  <si>
    <r>
      <rPr>
        <b/>
        <sz val="10"/>
        <rFont val="Arial"/>
        <family val="2"/>
      </rPr>
      <t>Additional spending: 
•</t>
    </r>
    <r>
      <rPr>
        <sz val="10"/>
        <rFont val="Arial"/>
        <family val="2"/>
      </rPr>
      <t xml:space="preserve"> Emergency spending and first supplementary budget (KRW 2.1 tn): Epidemic prevention and treatment, support for medical institutions and quarantined households.
• Third supplementary budget (KRW 2.4 tn): Expanding diagnostic and treatment facilities and smart medical centers; promoting treatment and vaccine development; promoting test-trace-treatment to be a global standard and increasing official development aid of K COVID-19 response kits and tools. 
• Additional health spending (KRW 600 bn).
</t>
    </r>
  </si>
  <si>
    <r>
      <rPr>
        <b/>
        <sz val="10"/>
        <rFont val="Arial"/>
        <family val="2"/>
      </rPr>
      <t xml:space="preserve">Additional Spending (KRW 57.8 tn):
</t>
    </r>
    <r>
      <rPr>
        <sz val="10"/>
        <rFont val="Arial"/>
        <family val="2"/>
      </rPr>
      <t xml:space="preserve">• The government has announced consumption coupons for the poor, emergency family care support, and support for business re-opening (KRW 5.6 tn).
• The 1st supplementary budget included support for SMEs, additional consumption coupons, and grants to local governments (KRW 8.8 tn).
• The 2nd supplementary budget included cash transfers to bottom 70% of households (KRW 14.3 tn). 
• The 3rd supplementary budget includes support for companies, employment, and social safety nets; boost to consumption, investment, and local economies; and Korean new deal for digital and green investment (KRW 21.3 tn).
•The 4th supplementary budget: KRW 7.8 tn (KRW 3.9 tn for SME support, KRW 1.5 tn for employment relationship, KRW 0.4 tn support for unemployed and low income household, KRW 1.8 tn in daycare support and mobile bills, and KRW 0.2 tn for emergency disease prevention).
</t>
    </r>
    <r>
      <rPr>
        <b/>
        <sz val="10"/>
        <rFont val="Arial"/>
        <family val="2"/>
      </rPr>
      <t xml:space="preserve">Forgone revenue (KRW 3.4 tn):
</t>
    </r>
    <r>
      <rPr>
        <sz val="10"/>
        <rFont val="Arial"/>
        <family val="2"/>
      </rPr>
      <t xml:space="preserve">• Temporary corporate/income tax cuts for landlords who reduce commercial rents.
• Rental fees reduction for tenants of public properties 
• Rental fees reduction for tenants of commercial properties and reduction in airport facility fees, ports and terminal charges.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 </t>
    </r>
  </si>
  <si>
    <t xml:space="preserve">• State guarantees for  bank loans to companies and credit reinsurance schemes (€315 bn); other guarantees (€12.5 bn).
• The Plan de Relance includes the creation of a up to €20 bn fund leveraged by public guarantees (€7 bn), to provide quasi-equity support or equity loans to firms. </t>
  </si>
  <si>
    <r>
      <rPr>
        <b/>
        <sz val="10"/>
        <color theme="1"/>
        <rFont val="Arial"/>
        <family val="2"/>
      </rPr>
      <t>Deferred revenue</t>
    </r>
    <r>
      <rPr>
        <sz val="10"/>
        <color theme="1"/>
        <rFont val="Arial"/>
        <family val="2"/>
      </rPr>
      <t>: Deferral of social security debts for companies and the self-employed; Deferral of tax debts and debts arising from customs declaration; tax payment deferrals for small and medium enterprises and self-employed for six months, with the first four months exempt from interest.</t>
    </r>
  </si>
  <si>
    <t>• Up to €100 bn government guarantees for firms and self-employed, covering both loans and commercial paper of medium-sized companies that participate in Spain’s Alternative Fixed Income Market (MARF)
• A new Instituto de Crédito Oficial (ICO) line of guarantees to promote investment activities particularly in the areas of environmental sustainability and digitization (€40 billion);
• Guarantees for financing operations carried out by the European investment Bank (€2.8 billion) and  endorsement to the European SURE instrument (€2.3 billion)
• Additional guarantees of up to €2 bn for exporters through the Spanish Export Insurance Credit Company 
• Guarantees to provide financial assistance on housing expenses for vulnerable households (€1.2 billion)
• Additional loan guarantees for SMEs and self-employed through the Compañía Española de Reafianzamiento (€1.1 bn) and line of guarantees for listed companies (€1 billion)
• Expansion of the ICO credit lines for the tourism sector (€200 million)
• Guarantees for loan maturity extensions to farmers using the special 2017 drought credit lines.</t>
  </si>
  <si>
    <r>
      <rPr>
        <b/>
        <sz val="10"/>
        <rFont val="Arial"/>
        <family val="2"/>
      </rPr>
      <t>Deferred revenue:</t>
    </r>
    <r>
      <rPr>
        <sz val="10"/>
        <rFont val="Arial"/>
        <family val="2"/>
      </rPr>
      <t xml:space="preserve"> mostly due to postponement of VAT, CIT, and social security contributions as well as property taxes.  </t>
    </r>
  </si>
  <si>
    <t xml:space="preserve">The total guarantee is estimated at about 579 bn euros, aimed to unlock more than 750 billion euros of liquidity for businesses and households.
</t>
  </si>
  <si>
    <r>
      <rPr>
        <b/>
        <sz val="10"/>
        <rFont val="Arial"/>
        <family val="2"/>
      </rPr>
      <t xml:space="preserve">Accelerated spending (BRL 58.7 bn): </t>
    </r>
    <r>
      <rPr>
        <sz val="10"/>
        <rFont val="Arial"/>
        <family val="2"/>
      </rPr>
      <t xml:space="preserve">Advance payment of 13th pension benefit, wage bonuses to low-income workers, and sickness/disability benefits.
</t>
    </r>
    <r>
      <rPr>
        <b/>
        <sz val="10"/>
        <rFont val="Arial"/>
        <family val="2"/>
      </rPr>
      <t xml:space="preserve">
Deferred revenue (BRL 143.1 bn)</t>
    </r>
    <r>
      <rPr>
        <sz val="10"/>
        <rFont val="Arial"/>
        <family val="2"/>
      </rPr>
      <t>: 
• 4-month deferral of social contributions paid by firms and employers, 3-month deferral of small business taxes, and delayed PIT filling. Deferral of taxes paid by the telecommunications sector and of tax debt payment obligations.</t>
    </r>
  </si>
  <si>
    <t xml:space="preserve">Credit lines from public banks to SMEs, micro-firms, and individuals (BNDES: BRL 55.4bn, Caixa: BRL 154bn, Banco do Brasil: BRL100):  
• BNDES opened a working capital loan line for tourism and service sectors (small and medium-sized firms); renegotiated loan terms benefiting sectors such as oil and gas, airports, ports, energy, transportation, urban mobility, health, industry and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 Authorization of new withdrawals from mandatory savings accounts for unemployment (FGTS) - BRL 36.2 bn
• Temporary cut of small employers contributions to training funds (Sistema S) and deferral of all employers contributions to an extra-budgetary mandatory savings fund (FGTS) - BRL 32.2 bn.  
</t>
  </si>
  <si>
    <r>
      <rPr>
        <b/>
        <sz val="10"/>
        <color theme="1"/>
        <rFont val="Arial"/>
        <family val="2"/>
      </rPr>
      <t>Additional spending (Rs 360 bn):</t>
    </r>
    <r>
      <rPr>
        <sz val="10"/>
        <color theme="1"/>
        <rFont val="Arial"/>
        <family val="2"/>
      </rPr>
      <t xml:space="preserve">
• Additional spending on health infrastructure, including for COVID-19 testing facilities, personal protective equipment, isolation beds, ICU beds, ventilators and medical screening.</t>
    </r>
  </si>
  <si>
    <r>
      <rPr>
        <b/>
        <sz val="10"/>
        <rFont val="Arial"/>
        <family val="2"/>
      </rPr>
      <t xml:space="preserve">Accelerated Spending (Rs 660 bn:
</t>
    </r>
    <r>
      <rPr>
        <sz val="10"/>
        <rFont val="Arial"/>
        <family val="2"/>
      </rPr>
      <t>• On March 26, 2020, the government accelerated the first installment of payments to lower income farmers under PM KISAN (160 billion rupees). As part of the scheme announced on June 20th, 2020, the government expedited the implementation of a set of public works projects spanning 12 different ministries, to boost employment and livelihood opportunities for migrant workers returning to villages (500 billion rupees)</t>
    </r>
    <r>
      <rPr>
        <b/>
        <sz val="10"/>
        <rFont val="Arial"/>
        <family val="2"/>
      </rPr>
      <t xml:space="preserve">
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</si>
  <si>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Equity infusion for micro, small, and medium-sized enterprises (500 billion Rs.) and a viability-gap funding scheme for private sector involvement in social infrastructure (81 billion Rs.), both announced in May; and equity infusion in infrastructure financing funds and platforms (60 billion Rs.) announced in November.</t>
  </si>
  <si>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
•On November 12, the collateral-free lending program was extended to March 31, 2021 and expanded to provide additional support to 26 stressed sectors.</t>
  </si>
  <si>
    <t>• Loans to companies in the electricity distribution sector (Rs 900 bn), carried out by Power Finance Crops and Rural Electrification Corps (both SOEs) under state government guarantees. Government also relaxed the borrowing limits of DISCOM companies on a one-time basis, allowing more electricity distribution companies to take advantage of the borrowing scheme.</t>
  </si>
  <si>
    <r>
      <rPr>
        <b/>
        <sz val="10"/>
        <color theme="1"/>
        <rFont val="Arial"/>
        <family val="2"/>
      </rPr>
      <t>Additional spending (£110.8 bn)</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 (£2.2 bn)</t>
    </r>
    <r>
      <rPr>
        <sz val="10"/>
        <color theme="1"/>
        <rFont val="Arial"/>
        <family val="2"/>
      </rPr>
      <t>:
• Waiver of VAT and customs duties on critical medical import.</t>
    </r>
  </si>
  <si>
    <r>
      <rPr>
        <b/>
        <sz val="10"/>
        <color theme="1"/>
        <rFont val="Arial"/>
        <family val="2"/>
      </rPr>
      <t xml:space="preserve">Accelerated spending (£4 bn): </t>
    </r>
    <r>
      <rPr>
        <sz val="10"/>
        <color theme="1"/>
        <rFont val="Arial"/>
        <family val="2"/>
      </rPr>
      <t xml:space="preserve">
</t>
    </r>
    <r>
      <rPr>
        <b/>
        <sz val="10"/>
        <color theme="1"/>
        <rFont val="Arial"/>
        <family val="2"/>
      </rPr>
      <t>•</t>
    </r>
    <r>
      <rPr>
        <sz val="10"/>
        <rFont val="Arial"/>
        <family val="2"/>
      </rPr>
      <t xml:space="preserve"> Bring forward public infrastructure spending to FY2020/21.</t>
    </r>
    <r>
      <rPr>
        <b/>
        <sz val="10"/>
        <color theme="1"/>
        <rFont val="Arial"/>
        <family val="2"/>
      </rPr>
      <t xml:space="preserve">
Deferred revenue (£3 bn):</t>
    </r>
    <r>
      <rPr>
        <sz val="10"/>
        <color theme="1"/>
        <rFont val="Arial"/>
        <family val="2"/>
      </rPr>
      <t xml:space="preserve"> 
• Deferral of VAT for the second quarter of 2020 until the end of the financial year; 
• Deferral of income tax (self-assessment) of the self-employed until the end of January 2021.</t>
    </r>
  </si>
  <si>
    <t>• Treasury guaranteed loans.
• Credit guarantee fund (set up in 2016) doubled in size from TL25 to 50 billion as part of the fiscal package.</t>
  </si>
  <si>
    <r>
      <rPr>
        <b/>
        <sz val="10"/>
        <color theme="1"/>
        <rFont val="Arial"/>
        <family val="2"/>
      </rPr>
      <t>Additional spending (CAD 52.7 bn):</t>
    </r>
    <r>
      <rPr>
        <sz val="10"/>
        <color theme="1"/>
        <rFont val="Arial"/>
        <family val="2"/>
      </rPr>
      <t xml:space="preserve"> Support to the health system including
•  Immediate public health response, including COVID-19 Response Fund;
• Funding for personal protective equipment and supplies; PPE and related equipment for essential workers;
• Reducing import costs to facilitate access to critical medical goods;
• Health and social support for Northern Communities (critical priorities, air carriers, food subsidy enhancement); 
• COVID-19 medical research and vaccine development (over two years); 
• Consular assistance;  
• Virtual care and mental health tools for Canadians; 
• Enhancing public health measures in indigenous communities;
• Provincial safe restart agreement.</t>
    </r>
  </si>
  <si>
    <r>
      <rPr>
        <b/>
        <sz val="10"/>
        <color theme="1"/>
        <rFont val="Arial"/>
        <family val="2"/>
      </rPr>
      <t xml:space="preserve">Additional spending (CAD 270 bn): 
</t>
    </r>
    <r>
      <rPr>
        <sz val="10"/>
        <color theme="1"/>
        <rFont val="Arial"/>
        <family val="2"/>
      </rPr>
      <t>Households (CAN 240.7 bn)
of which:	
• Emergency response benefit (CAN 83.0 bn)
• Recovery benefits and enhanced employment insurance (CAN 33.2 bn)
• Wage subsidies and protecting jobs (CAN 105.2 bn)
• Others, including support to students, seniors, and vulnerable groups (CAN 19.3 bn)
Businesses (CAN 29.2 bn)
of which:	
• Emergency business account with 25% loan forgiveness (CAN 14.6 bn)
• Emergency commercial rent assistance (CAN 4.4 bn)
• Others, including sector-specific support and sub-nationals support (CAN 10.3 bn)</t>
    </r>
  </si>
  <si>
    <r>
      <rPr>
        <b/>
        <sz val="10"/>
        <color theme="1"/>
        <rFont val="Arial"/>
        <family val="2"/>
      </rPr>
      <t xml:space="preserve">Deferred revenue (€13.8 bn): </t>
    </r>
    <r>
      <rPr>
        <sz val="10"/>
        <color theme="1"/>
        <rFont val="Arial"/>
        <family val="2"/>
      </rPr>
      <t xml:space="preserve">
• Deferred payment of tax and social security contributions for affected firms, self-employed, and households, without application of interest charges and penalties, estimated at about 10 billion euros, and deferral of advance VAT payment in December 2020. Additional deferral of SSC payments due in Q4 for firms affected by the second lockdown.</t>
    </r>
  </si>
  <si>
    <r>
      <rPr>
        <b/>
        <sz val="10"/>
        <rFont val="Arial"/>
        <family val="2"/>
      </rPr>
      <t xml:space="preserve">Government loans (0.8bn): 
</t>
    </r>
    <r>
      <rPr>
        <sz val="10"/>
        <rFont val="Arial"/>
        <family val="2"/>
      </rPr>
      <t xml:space="preserve">• Federal loan to Brussels Airlines; and various (subordinated) loans provided by regional governments for companies and self-employed affected by Covid-19 (facing liquidity problems, etc.); some of which channeled through regional investment vehicles.
</t>
    </r>
    <r>
      <rPr>
        <b/>
        <sz val="10"/>
        <rFont val="Arial"/>
        <family val="2"/>
      </rPr>
      <t xml:space="preserve">
Equity injections (0.3bn)</t>
    </r>
    <r>
      <rPr>
        <sz val="10"/>
        <rFont val="Arial"/>
        <family val="2"/>
      </rPr>
      <t>:  
• Capital increase in Flemish and Brussels regional investment companies that will use the funds to provide capital support to firms in need.</t>
    </r>
  </si>
  <si>
    <r>
      <rPr>
        <b/>
        <sz val="10"/>
        <color theme="1"/>
        <rFont val="Arial"/>
        <family val="2"/>
      </rPr>
      <t>Deferred revenue (SAR 56 bn)</t>
    </r>
    <r>
      <rPr>
        <sz val="10"/>
        <color theme="1"/>
        <rFont val="Arial"/>
        <family val="2"/>
      </rPr>
      <t>: Deferred declaration &amp; payment of taxes for 3 months, waiver of customs duties (30 days to 3 months), waiver of expat fees for 3 months; and  waiver of municipal fees on companies for 3 months.</t>
    </r>
  </si>
  <si>
    <r>
      <rPr>
        <b/>
        <sz val="10"/>
        <rFont val="Arial"/>
        <family val="2"/>
      </rPr>
      <t>Additional spending:</t>
    </r>
    <r>
      <rPr>
        <sz val="10"/>
        <rFont val="Arial"/>
        <family val="2"/>
      </rPr>
      <t xml:space="preserve"> 
Additional spending: 
• Increased testing and tracing for Covid-19 (SEK 7 bn); funding of extraordinary costs associated with Covid-19 for municipalities and regions (SEK 5 bn) and elderly care boost (SEK 2.2 bn).
• Extra funding to train up to 10,000 people in health and social care during 2020Q4.
• Increased funding to enable the National Board of Health and Welfare's credit framework to purchases personal protective equipment and intensive care equipment.
• Removing income ceiling for health and medical care students to assist in the health care without their aid being reduced.
</t>
    </r>
  </si>
  <si>
    <r>
      <rPr>
        <b/>
        <sz val="10"/>
        <rFont val="Arial"/>
        <family val="2"/>
      </rPr>
      <t xml:space="preserve">Additional spending (SEK 136 bn): </t>
    </r>
    <r>
      <rPr>
        <sz val="10"/>
        <rFont val="Arial"/>
        <family val="2"/>
      </rPr>
      <t>additional expenditures on wage subsidies for short-term leave, temporary payment of sick leave, more funding to the media, cultural and sports sectors and for education and training, rent subsidies to certain sectors, more generous unemployment benefits, expanded active labor market policies, temporary grants to businesses based on their loss of turnover to cover their fixed costs; supplementary housing allowances to families with children, infrastructure investment, extra support to public transport, measures to prevent Covid-19 fraud, general grants to municipalities and regions.</t>
    </r>
    <r>
      <rPr>
        <b/>
        <sz val="10"/>
        <rFont val="Arial"/>
        <family val="2"/>
      </rPr>
      <t xml:space="preserve">
Forgone revenue (SEK 33 bn): </t>
    </r>
    <r>
      <rPr>
        <sz val="10"/>
        <rFont val="Arial"/>
        <family val="2"/>
      </rPr>
      <t xml:space="preserve">temporary reduction in employers' social security contributions. </t>
    </r>
  </si>
  <si>
    <r>
      <t xml:space="preserve">Deferred revenues: </t>
    </r>
    <r>
      <rPr>
        <sz val="10"/>
        <color theme="1"/>
        <rFont val="Arial"/>
        <family val="2"/>
      </rPr>
      <t>Deferral of a maximum of three month worth of payments of companies’ social contributions, VAT and payroll taxes for a period of up to 12 months (SEK 27 bn if uptake similar to GFC, and SEK 315 bn if fully used by all firms), deferral of annual VAT for 2019 (SEK 7 bn) and deferral of SME taxes (SEK 13 bn).</t>
    </r>
  </si>
  <si>
    <t>(iii) €400 bn to provide additional state guarantees to non-financial corporations to alleviate liquidity bottlenecks and support refinancing.
•  For the new and expansion of the existing KfW-programs, the guarantee framework of the federal government was increased by €357 bn. 
•  Total guarantees provided by state governments to be increased by €69.3 bn.</t>
  </si>
  <si>
    <r>
      <rPr>
        <b/>
        <sz val="10"/>
        <rFont val="Arial"/>
        <family val="2"/>
      </rPr>
      <t>Additional spending:</t>
    </r>
    <r>
      <rPr>
        <sz val="10"/>
        <rFont val="Arial"/>
        <family val="2"/>
      </rPr>
      <t xml:space="preserve">
• Loans with optional repayment to be granted by the Ministry of Economy to SMEs that maintain employees on payroll, self-employed, and domestic workers. Eligibility is assessed using IMSS database 
• Loans with optional repayment to be granted by the Ministry of Economy to family businesses, previously registered in the Welfare Census 
• Unemployment subsidy for 3 months to workers that hold a mortgage with the Housing Institute 
• Expansion of Welfare Programs and improvement program.</t>
    </r>
  </si>
  <si>
    <r>
      <rPr>
        <b/>
        <sz val="10"/>
        <rFont val="Arial"/>
        <family val="2"/>
      </rPr>
      <t xml:space="preserve">Accelerated spending:
</t>
    </r>
    <r>
      <rPr>
        <sz val="10"/>
        <rFont val="Arial"/>
        <family val="2"/>
      </rPr>
      <t>• Frontloaded social pension payments for the elderly and disabled people
• Procurement processes and VAT refunds are to be accelerated.</t>
    </r>
  </si>
  <si>
    <t>• Institute for Social Security and Services (ISSSTE) loans to state workers with low interest rates (MXN 34.3 bn).
• Personal loans granted by the Institute of the National Fund for the Consumption of Workers (Fonacot) (MXN 3 bn).
• Special Program to Reactivate the Economy against COVID by Housing Fund of the Institute for Social Security and Services(Fovissste) (MXN 2 bn).</t>
  </si>
  <si>
    <r>
      <rPr>
        <b/>
        <sz val="10"/>
        <color theme="1"/>
        <rFont val="Arial"/>
        <family val="2"/>
      </rPr>
      <t>Additional spending:</t>
    </r>
    <r>
      <rPr>
        <sz val="10"/>
        <color theme="1"/>
        <rFont val="Arial"/>
        <family val="2"/>
      </rPr>
      <t xml:space="preserve">
The authorities have increased public health spending and are trying to ensure sufficient supply of medical equipment and materials.</t>
    </r>
  </si>
  <si>
    <t>The Treasury will guarantee up to R 200 bn in loans where also the banks are taking part of the risk to help businesses (with a cap of R100 million per loan) pay operating expenses including salaries, suppliers etc.</t>
  </si>
  <si>
    <r>
      <rPr>
        <b/>
        <sz val="10"/>
        <color theme="1"/>
        <rFont val="Arial"/>
        <family val="2"/>
      </rPr>
      <t>Additional spending:</t>
    </r>
    <r>
      <rPr>
        <sz val="10"/>
        <color theme="1"/>
        <rFont val="Arial"/>
        <family val="2"/>
      </rPr>
      <t xml:space="preserve"> Resources to hire social and health workers nationwide. </t>
    </r>
  </si>
  <si>
    <r>
      <rPr>
        <b/>
        <sz val="10"/>
        <color theme="1"/>
        <rFont val="Arial"/>
        <family val="2"/>
      </rPr>
      <t>Additional spending</t>
    </r>
    <r>
      <rPr>
        <sz val="10"/>
        <color theme="1"/>
        <rFont val="Arial"/>
        <family val="2"/>
      </rPr>
      <t>: 
• The supplementary budget includes €265 million in additional spending for healthcare and testing, PPE and medical equipment.  Another supplemental budget has been announced, but not yet passed, that adds another €600 million for health equipment and medicine. 
• The third supplementary budget includes €16 million for vaccine and drug development research, and the development and maintenance of a contact tracing app. 
• The fourth supplementary budget includes an additional €310 million for coronavirus vaccine and testing (€110 million) and transfers to hospital district authorities (€200 million).
• On September 24, the government submitted a sixth supplementary budget proposal for 2020 which included €200 million to support the rapid increase in cross-border testing capacity and analysis as part of the hybrid strategy for cross-border traffic and travel. 
•The seventh supplementary budget, submitted on October 23, included EUR 200 million to the country’s hospital districts for pandemic-related costs. It also included $355 million to municipalities for implementing the hybrid testing and tracing strategy.</t>
    </r>
  </si>
  <si>
    <r>
      <rPr>
        <b/>
        <sz val="10"/>
        <color theme="1"/>
        <rFont val="Arial"/>
        <family val="2"/>
      </rPr>
      <t>Additional spending</t>
    </r>
    <r>
      <rPr>
        <sz val="10"/>
        <color theme="1"/>
        <rFont val="Arial"/>
        <family val="2"/>
      </rPr>
      <t xml:space="preserve">: (i) grants to SMEs through Business Finland and the Employment Centers (€450 million); increased parental allowance  (€94 million); additional social assistance and unemployment benefits (€1.547 billion); additional public safety and border controls, etc.  measures to support restaurant to employ workers EUR 40 million, measures to support businesses for imposed restrictions on activities, EUR 83 million, Share acquisitions in state ownership steering, EUR 700 mn. The fourth supplementary budget includes additional support for households and employment (€652 million); support for businesses (€520 million); and increased public investment (€963 million). The seventh supplementary budget included EUR 400 million in support to municipalities for basic public services.
</t>
    </r>
    <r>
      <rPr>
        <b/>
        <sz val="10"/>
        <color theme="1"/>
        <rFont val="Arial"/>
        <family val="2"/>
      </rPr>
      <t xml:space="preserve">
Forgone revenue</t>
    </r>
    <r>
      <rPr>
        <sz val="10"/>
        <color theme="1"/>
        <rFont val="Arial"/>
        <family val="2"/>
      </rPr>
      <t xml:space="preserve">: Reduced pension contributions for the period May 1 - 31 December  2020 (€1.05 billion)
</t>
    </r>
  </si>
  <si>
    <r>
      <rPr>
        <b/>
        <sz val="10"/>
        <color theme="1"/>
        <rFont val="Arial"/>
        <family val="2"/>
      </rPr>
      <t>Deferred revenue</t>
    </r>
    <r>
      <rPr>
        <sz val="10"/>
        <color theme="1"/>
        <rFont val="Arial"/>
        <family val="2"/>
      </rPr>
      <t>: Deferrals of tax and pension payment obligations for 3 months are estimated to provide an a</t>
    </r>
    <r>
      <rPr>
        <sz val="10"/>
        <rFont val="Arial"/>
        <family val="2"/>
      </rPr>
      <t>dditional €3.5 billion (1.6 percent of GDP) in relief. Adjusted VAT tax payments provide an additional €750 million in relief.</t>
    </r>
  </si>
  <si>
    <t>• SME capital injections of €150 million. Share acquisitions in state ownership steering €700 million.
• On April 29, the government announced a recapitalization of Finnair of €500 million. Finnair is 56% publicly owned.
• Increased capitalization of €300 million into national climate fund. 
• Increased capital funding for state-owned enterprises of €770 million.</t>
  </si>
  <si>
    <r>
      <t>• Finland’s Export Credit Agency expands its lending and guarantee capacity to SMEs by €10 bn and the government will increase its coverage of the agency’s credit and guar</t>
    </r>
    <r>
      <rPr>
        <sz val="10"/>
        <rFont val="Arial"/>
        <family val="2"/>
      </rPr>
      <t>antee losses from 50 to 80 percent. 
• State guarantee for Finnair (€ 0.6 bn) and shipping companies (€ 0.6 bn)</t>
    </r>
    <r>
      <rPr>
        <sz val="10"/>
        <color theme="1"/>
        <rFont val="Arial"/>
        <family val="2"/>
      </rPr>
      <t xml:space="preserve">
• As of the Supplementary Budget on May 8, the following guarantees have been added totaling € 1.7 billion: Guarantees for Employment Fund, € 880 million, for SURE, € 432 million, for the EIB, € 372 million.</t>
    </r>
  </si>
  <si>
    <r>
      <rPr>
        <b/>
        <sz val="10"/>
        <color theme="1"/>
        <rFont val="Arial"/>
        <family val="2"/>
      </rPr>
      <t>Deferred revenue</t>
    </r>
    <r>
      <rPr>
        <sz val="10"/>
        <color theme="1"/>
        <rFont val="Arial"/>
        <family val="2"/>
      </rPr>
      <t>: Tax deferrals for companies that are in financial distress due to the covid-19 crisis. Temporary suspension of penalties for late tax payments. Entrepreneurs can request a deferral of tax payment, without the need to provide evidence. Businesses can calculate provisional tax payments on an expected (reduced) basis.</t>
    </r>
  </si>
  <si>
    <t>• The loan guarantee program for businesses (especially those affected by the outbreak) was expanded to cover up to 90 percent of total loan for SMEs (with maturity of 1 year or less) and 80 percent for large firms.
• A guarantee scheme for supplier credit was also established.</t>
  </si>
  <si>
    <r>
      <rPr>
        <b/>
        <sz val="10"/>
        <rFont val="Arial"/>
        <family val="2"/>
      </rPr>
      <t xml:space="preserve">Additional spending: </t>
    </r>
    <r>
      <rPr>
        <sz val="10"/>
        <rFont val="Arial"/>
        <family val="2"/>
      </rPr>
      <t>Includes army pharmacy (CHF 2.264 bn), corona tests (CHF 578 mn), information campaign, mobilization, and contact tracing (CHF 51 mn),  medication (CHF 34 mn), vaccination (CHF 29 mn), health protection (CHF 13 mn).</t>
    </r>
  </si>
  <si>
    <r>
      <rPr>
        <b/>
        <sz val="10"/>
        <rFont val="Arial"/>
        <family val="2"/>
      </rPr>
      <t>Additional spending (AR $48.9 bn):</t>
    </r>
    <r>
      <rPr>
        <sz val="10"/>
        <rFont val="Arial"/>
        <family val="2"/>
      </rPr>
      <t xml:space="preserve">
• Budget increase for Health Ministry to improve virus diagnostics, purchase hospital equipment, and build temporary emergency treatment centers.
• Budget transfers to specific hospitals.
• Four monthly bonuses of AR $5K for healthcare workers (AR $12 bn).
• Health Strategy for Families and Communities. 
• Financial Assistance for Health Insurance Agents.
• Other (non-costed) support for the health sector includes discretionary transfers related to healthcare to provinces. 
</t>
    </r>
    <r>
      <rPr>
        <b/>
        <sz val="10"/>
        <rFont val="Arial"/>
        <family val="2"/>
      </rPr>
      <t>Forgone revenue (AR $29.1 bn):</t>
    </r>
    <r>
      <rPr>
        <sz val="10"/>
        <rFont val="Arial"/>
        <family val="2"/>
      </rPr>
      <t xml:space="preserve">
• Exemption from import duties and statistical tax for medical supplies (April-August).
• Tax aliquots on credits and debits in bank accounts and other operations of 2.5 and 5 percent for health service operations.
• 95 percent reduction in the aliquot of employer social security contributions for a period of 90 days for health workers (April-June).
•  Special tax compensation scheme for those who make sales of essential goods, including a VAT refund for milk sales.</t>
    </r>
  </si>
  <si>
    <t>Additional spending (AR $892.4 bn):
• One-off additional allowances for pensioners, beneficiaries of child, pregnancy, and other social allowances, as well as food stamps. 
• Emergency family allowance for monotributistas, informal workers, and unemployed.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 Small-scale supports for tourism and entertainment industries, science, education, external and security sectors.
• Transfers to state-guaranteed funds (FOGAR/FONDEP) for credit to SMEs and monotributistas.
Forgone revenue (AR $67.1 bn):
• Most affected sectors granted 95% reduction in employers’ contributions to the pension system.
• Reduction in employers' contributions to Social Security. 
•  Special benefits (tax breaks) for police and security at the forefront of COVID response.</t>
  </si>
  <si>
    <t>• State guaranteed, subsidized bank lending (estimated at 2 percent of GDP):
• Banco Nación and ANSES loans, subsidies, and transfers for housing projects;
• Subsidized loans for the construction and repair of houses.
• Financing for SMEs to help implement remote working facilities;
• Suspension of public service cuts for 180 days due to non-payment of up to 3 consecutive invoices.</t>
  </si>
  <si>
    <t>XH</t>
  </si>
  <si>
    <t>FM October 2020</t>
  </si>
  <si>
    <t>FM January 2021</t>
  </si>
  <si>
    <t>Revisions confirmed by team.</t>
  </si>
  <si>
    <t>Credit guarantee scheme to support SMEs and micro enterprises.</t>
  </si>
  <si>
    <t>No changes.</t>
  </si>
  <si>
    <t>Revision confirmed by team. Updated guarantees to IDR 100,000 million from 150,000.</t>
  </si>
  <si>
    <t>Revision confirmed by team. Increased deferred revenues from 50 to 56.</t>
  </si>
  <si>
    <r>
      <t xml:space="preserve">Deferred revenue: 
</t>
    </r>
    <r>
      <rPr>
        <sz val="10"/>
        <rFont val="Arial"/>
        <family val="2"/>
      </rPr>
      <t xml:space="preserve">• Postponement of (i) advance payments on personal and corporate income taxes (CZK 22bn); (ii) advance payments on social security and health insurance contributions for self-employed by 6 months (CZK 14.3bn); (iii) advance payments on road tax
• Deferral of the VAT </t>
    </r>
  </si>
  <si>
    <t xml:space="preserve">• The CMZRB provided CZK 1bn through interest-free loans, the rest will be handled through state guarantees on loans of commercial banks (COVID I Programme).
</t>
  </si>
  <si>
    <t>• COVID III Program (Guarantees will cover up to 30% of loan principal. The state will issue 80-90% of the guarantees (total amount of CZK 150bn). Estimates of the amount of guarantees offered will allow SMEs to access loans amounting to CZK500bn. 
• COVID II Program of state guarantees in total amount of CZK 20bn (loans up to CZK 15 million, state contribution on interest costs up to CZK 1 million, state guarantee up to 80% of loan, 3-year maturity)
• COVID Plus Program of state guarantees provided by Export Guarantee and Insurance Corporation in the amount of CZK 330bn.
• COVID Prague Program (1.6bn).
• Other guarantees (National guarantee, Expansion guarantee) (CZK 12bn).</t>
  </si>
  <si>
    <t>• NZ$ 900 mn loan is granted to Air New Zealand, an airline company, of which the government owns 52 percent of shares.
• Maximum NZ$100 thousand loan is granted to small businesses that employ 50 or fewer full time equivalent employees (NZ$ 1.6 bn).</t>
  </si>
  <si>
    <t>• A loan guarantee scheme for firms with a turnover of between NZ$ 250 thousand and NZ$ 200 mn per annum, with the Government carrying 80% of the credit risk. The loans will be limited to NZ$ 5 mn for a maximum of five years and expected to be provided by the banks at competitive, transparent rates.</t>
  </si>
  <si>
    <r>
      <rPr>
        <b/>
        <sz val="10"/>
        <color theme="1"/>
        <rFont val="Arial"/>
        <family val="2"/>
      </rPr>
      <t>Additional spending:</t>
    </r>
    <r>
      <rPr>
        <sz val="10"/>
        <color theme="1"/>
        <rFont val="Arial"/>
        <family val="2"/>
      </rPr>
      <t xml:space="preserve"> 
• Strengthening the financial situation in the hospital trust through increased appropriations.  
• Increased appropriations to cover expenses for necessary medicines, medical equipment and laboratory analyzes (NOK 4.8 bn).
</t>
    </r>
    <r>
      <rPr>
        <b/>
        <sz val="10"/>
        <color theme="1"/>
        <rFont val="Arial"/>
        <family val="2"/>
      </rPr>
      <t>Forgone revenue:</t>
    </r>
    <r>
      <rPr>
        <sz val="10"/>
        <color theme="1"/>
        <rFont val="Arial"/>
        <family val="2"/>
      </rPr>
      <t xml:space="preserve">  
• Strengthening the financial situation in the hospital trust by NOK 6 bn through temporary reduced employer tax. </t>
    </r>
  </si>
  <si>
    <t>• Deferral of various tax payments.</t>
  </si>
  <si>
    <r>
      <rPr>
        <b/>
        <sz val="10"/>
        <color theme="1"/>
        <rFont val="Arial"/>
        <family val="2"/>
      </rPr>
      <t xml:space="preserve">Additional spending:   </t>
    </r>
    <r>
      <rPr>
        <sz val="10"/>
        <color theme="1"/>
        <rFont val="Arial"/>
        <family val="2"/>
      </rPr>
      <t xml:space="preserve">        
· Additional health equipment (ventilators)
· Personal Protective Equipment
· Bonuses for front line health-workers dealing with Covid-19
· Setting up a new quarantine center</t>
    </r>
  </si>
  <si>
    <r>
      <rPr>
        <b/>
        <sz val="10"/>
        <color theme="1"/>
        <rFont val="Arial"/>
        <family val="2"/>
      </rPr>
      <t>Accelerated spending (2.1):</t>
    </r>
    <r>
      <rPr>
        <sz val="10"/>
        <color theme="1"/>
        <rFont val="Arial"/>
        <family val="2"/>
      </rPr>
      <t xml:space="preserve">
· Annual indexation of pensions to CPI - usually applied in July, brought forward to April. Pensions were increased by 2.3% effective April 1.
</t>
    </r>
    <r>
      <rPr>
        <b/>
        <sz val="10"/>
        <color theme="1"/>
        <rFont val="Arial"/>
        <family val="2"/>
      </rPr>
      <t xml:space="preserve">Deferred revenue (0): </t>
    </r>
    <r>
      <rPr>
        <sz val="10"/>
        <color theme="1"/>
        <rFont val="Arial"/>
        <family val="2"/>
      </rPr>
      <t xml:space="preserve">
· All large companies (except banks, telecommunication, SOE-s and companies in the chain of supply of essential goods) can defer the corporate income tax installments for Q2 and Q3 2020 to Q2 - Q3 2021.
· For tourism, active processing and call centers – and small businesses with turnover of Lk14 mn or less – the payment of Q2, Q3 and Q4 of 2020 profit tax is deferred to Q2-Q4 2021.</t>
    </r>
  </si>
  <si>
    <r>
      <t xml:space="preserve">Additional spending: </t>
    </r>
    <r>
      <rPr>
        <sz val="10"/>
        <color theme="1"/>
        <rFont val="Arial"/>
        <family val="2"/>
      </rPr>
      <t xml:space="preserve">
• Industrial companies have received relief in the form of lower energy and tax costs: Lower energy costs for factories (EGP 6 billion), subsidy pay-out for exporters (EGP 1 billion).
• Increase in support to pensioners and irregular workers: EGP 27.6 billion will be disbursed to 2.4 million families, totaling some 10 million citizens.
• A new consumer spending initiative has been announced by the government, as part of which, two-year low-interest installments will be made available to encourage spending. This 3-month program will also include discounts on selected consumer goods.
• A new government holding fund to guarantee mortgages and consumer loans made by banks and consumer finance companies for up to EGP 2 billion has also been announced.
</t>
    </r>
    <r>
      <rPr>
        <b/>
        <sz val="10"/>
        <color theme="1"/>
        <rFont val="Arial"/>
        <family val="2"/>
      </rPr>
      <t xml:space="preserve">Forgone revenue: </t>
    </r>
    <r>
      <rPr>
        <sz val="10"/>
        <color theme="1"/>
        <rFont val="Arial"/>
        <family val="2"/>
      </rPr>
      <t xml:space="preserve">
• Temporary real estate tax relief has been provided for industrial and tourism sectors; the moratorium on the tax law on agricultural land has been extended for 2 years+K114.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</si>
  <si>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 xml:space="preserve">Deferred revenue: </t>
    </r>
    <r>
      <rPr>
        <sz val="10"/>
        <color theme="1"/>
        <rFont val="Arial"/>
        <family val="2"/>
      </rPr>
      <t>6-month grace period for MSMEs to pay insurance premiums.</t>
    </r>
  </si>
  <si>
    <t>• Stock-purchase by the central bank of EGP 20 billion 
• Various loan subsidies to tourism, industry, agriculture and housing: The preferential interest rate has been reduced to 8 percent from 10 percent, for the tourism, industry, agriculture and construction sectors, as well as for housing loans for middle-class families. The central bank has approved an EGP 100 billion guarantee to cover lending at preferential rates to the manufacturing, agriculture and contracting sectors, previously covered a under a lending support initiative.
• Housing initiative to avail housing units to all applicant with low cost of financing</t>
  </si>
  <si>
    <r>
      <t xml:space="preserve">Additional spending: </t>
    </r>
    <r>
      <rPr>
        <sz val="10"/>
        <color theme="1"/>
        <rFont val="Arial"/>
        <family val="2"/>
      </rPr>
      <t xml:space="preserve">
·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 Stimulus package to the tourism sector amounting to THB 22.4 billion including subsidies for 5 million domestic trips between July and October, 2020 (40 percent of certain accommodation, event and food costs).
· Transfers to elderly, children up to 6-years-old, and holders of state-welfare cards that had previously not received assistance linked to the impact of Covid-19. This program covers about 6.8 million people with approximate cost of THB 20 billion.
· On September 22 the government passed a new shopping subsidy package for welfare cardholders worth THB 51 billion. The package will cover 24 million mainly low-income people via two schemes:14 million welfare cardholders will receive an extra monthly discount of Bt500 from October to December on their shopping;10 million people will get daily discounts of up to B100 on food, beverages and household essentials.
</t>
    </r>
    <r>
      <rPr>
        <b/>
        <sz val="10"/>
        <color theme="1"/>
        <rFont val="Arial"/>
        <family val="2"/>
      </rPr>
      <t>Forgone revenue:</t>
    </r>
    <r>
      <rPr>
        <sz val="10"/>
        <color theme="1"/>
        <rFont val="Arial"/>
        <family val="2"/>
      </rPr>
      <t xml:space="preserve">
· 41 billion baht in 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400,000 baht limit (form 200,000) for tax deduction of investments in the Super Saving Fund.
· Tax relief including for i) for personal income tax deduction for health insurance premium; ii) import duties for products preventing related to prevention or treatment of Covid-19 exempted until September 2020; iii) from January 2020 to December 31, 2021 taxes are exempted and fees are cut for debt restructuring with non-financial creditors; iv) reduction in excise tax on jet fuel for domestic flights; reduced withholding tax.
· 400,000 baht limit (form 200,000) for tax deduction of investments in the Super Saving Fund.
· As of October 8th, income tax deductions (to rebate VAT) on products worth THB 30,000 per person running from October 23 to December 31, 2020, to help boost spending on goods and services.</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</si>
  <si>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2020.  
• Subsidy on utility costs (for electricity and natural gas) for low-level consumers from March to May 2020 and from November 2020 to February 2021.  
• Cash transfers to vulnerable families and to compensate job loss including: provision of 1,200 GEL over the course of 6 months to individuals who lost their jobs or were put on an unpaid leave, one-time assistance of 300 GEL to people who are self-employed or employed in the “informal sector”; as well as support to extremely poor families; children in poor families; invalids and invalid children.  
• Support to businesses in the form of a credit guarantee scheme for SMEs, microgrants, support to the agriculture sector and construction sector  including through the acquisition of houses for refugees.
• Cash transfer of 300 GEL and assistance with loan postponement for persons employed at mals, markets, shops and retail trade, which were forced to shut during the second lockdown.
</t>
    </r>
    <r>
      <rPr>
        <b/>
        <sz val="10"/>
        <color theme="1"/>
        <rFont val="Arial"/>
        <family val="2"/>
      </rPr>
      <t xml:space="preserve">
Forgone revenue:
</t>
    </r>
    <r>
      <rPr>
        <sz val="10"/>
        <color theme="1"/>
        <rFont val="Arial"/>
        <family val="2"/>
      </rPr>
      <t>• Income tax relief to businesses who retain workers. Over the course of 6 months in 2020: (1) salaries up to 750 GEL will be fully exempt from income tax; and (2) for salaries up to 1,500 GEL, 750 GEL will be exempt from income tax.
• Property and income tax waiver to the tourism sector.</t>
    </r>
  </si>
  <si>
    <t>• The SME working capital financing (KZT 800 bn) program will be financed by Kazakhstan stability fund, a subsidiary of the National Bank of Kazakhstan.</t>
  </si>
  <si>
    <t>• Risk sharing facility under the refinance scheme for the payment of wages and salaries to prevent layoffs, whereby the Government of Pakistan bears 60 percent first loss on disbursed portfolio for eligible SMEs.
• Temporary Economic Refinance Facility to stimulate new investment in manufacturing at maximum interest rate of 7 percent fixed for 10 years.
• Refinance Facility for Combating COVID-19 to support hospitals and medical centers in combating the virus at maximum interest rate of 3 percent fixed.</t>
  </si>
  <si>
    <r>
      <rPr>
        <b/>
        <sz val="10"/>
        <color theme="1"/>
        <rFont val="Arial"/>
        <family val="2"/>
      </rPr>
      <t>Additional spending</t>
    </r>
    <r>
      <rPr>
        <sz val="10"/>
        <color theme="1"/>
        <rFont val="Arial"/>
        <family val="2"/>
      </rPr>
      <t xml:space="preserve">: Additional health spending, including the creation of a fund for the acquisition of equipment for public hospitals.
</t>
    </r>
    <r>
      <rPr>
        <b/>
        <sz val="10"/>
        <color theme="1"/>
        <rFont val="Arial"/>
        <family val="2"/>
      </rPr>
      <t>Forgone revenue:</t>
    </r>
    <r>
      <rPr>
        <sz val="10"/>
        <color theme="1"/>
        <rFont val="Arial"/>
        <family val="2"/>
      </rPr>
      <t xml:space="preserve"> Waiver of VAT for businesses selling medicines.</t>
    </r>
  </si>
  <si>
    <r>
      <t>Additional spending</t>
    </r>
    <r>
      <rPr>
        <sz val="10"/>
        <color theme="1"/>
        <rFont val="Arial"/>
        <family val="2"/>
      </rPr>
      <t xml:space="preserve">: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creation of a special program for the support of social work institutions and job creation for vulnerable classes.
</t>
    </r>
    <r>
      <rPr>
        <b/>
        <sz val="10"/>
        <color theme="1"/>
        <rFont val="Arial"/>
        <family val="2"/>
      </rPr>
      <t>Forgone revenue</t>
    </r>
    <r>
      <rPr>
        <sz val="10"/>
        <color theme="1"/>
        <rFont val="Arial"/>
        <family val="2"/>
      </rPr>
      <t xml:space="preserve">: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</si>
  <si>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t xml:space="preserve">Additional spending: </t>
    </r>
    <r>
      <rPr>
        <sz val="10"/>
        <rFont val="Arial"/>
        <family val="2"/>
      </rPr>
      <t>Benefits COVID income replacement directly and indirectly affected (CHF 7.5 bn); financing for short term work program and the unemployment fund (CHF 20.2 bn), COVID bridging loan losses (CHF 2 bn); support for transport sector (CHF 1.335 bn); support for sports and cultural sectors (CHF 610 mn); international support and development aid incl. contribution to IMF (CHF 343 mn); support to cantonal hardship programs (CHF 1930 mn); and other measures.</t>
    </r>
  </si>
  <si>
    <t xml:space="preserve">• Loan support to sports clubs (CHF 400 mn)
• Financial support to air traffic control company Skyguide (CHF 400 mn)
</t>
  </si>
  <si>
    <t xml:space="preserve">• Guarantees for Covid-19 bridge loans for firms with annual turnover up to CHF 500 mn (CHF 40 bn)
• Guarantees for startups (CHF 0.1 bn)
• Guarantees for airlines (CHF 1.275 bn)
 </t>
  </si>
  <si>
    <r>
      <rPr>
        <b/>
        <sz val="10"/>
        <rFont val="Arial"/>
        <family val="2"/>
      </rPr>
      <t xml:space="preserve">Additional spending: 
</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lasted April to June.
· One-off transfer of Lk40,000 to affected people (in tourism, active processing and employees of small businesses not included in the first package, including employees of large businesses that have been laid off due to the pandemic.
· An additional minimum wage will be paid to public transport workers who started work one month later than the removal of restrictions for the rest of the economy ( Lk135m).
</t>
    </r>
    <r>
      <rPr>
        <b/>
        <sz val="10"/>
        <rFont val="Arial"/>
        <family val="2"/>
      </rPr>
      <t>Foregone revenue:</t>
    </r>
    <r>
      <rPr>
        <sz val="10"/>
        <rFont val="Arial"/>
        <family val="2"/>
      </rPr>
      <t xml:space="preserve">
· Small businesses (those below an annual turnover threshold of Lk14 million) will not pay profit tax in 2020 (normative act April 23). Estimated amount Lk81 mn.</t>
    </r>
  </si>
  <si>
    <r>
      <rPr>
        <b/>
        <sz val="10"/>
        <rFont val="Arial"/>
        <family val="2"/>
      </rPr>
      <t xml:space="preserve">Additional spending (Rs 5638.7 bn):
</t>
    </r>
    <r>
      <rPr>
        <sz val="10"/>
        <rFont val="Arial"/>
        <family val="2"/>
      </rPr>
      <t>• On March 26, the central government announced a package that provides insurance coverage for workers in the healthcare sector, substantial in-kind (food; cooking gas) and cash transfers, as well as wage support to poor households (Rs 1.49 tn).
• Between May 13 and 17, additions to this initial package were announced. These focused on extending the government's existing rural employment guarantee scheme (additional Rs 400 bn), extension of food support to migrants (Rs 35 bn) and miscellaneous other measures (about Rs 93 bn).
• On June 30, authorities extended the provision of food rations to vulnerable households (Rs 829 bn).
• On August 20, authorities extended and expanded unemployment benefits for workers who are covered under the Employees State Insurance Corporation (ESIC) scheme.
• On October 12, authorities announced measures targeting consumption and public investment. On the consumption side authorities: i) offered public sector employees a cash payment which can be used to buy (via digital mode) goods that attract GST of 12% or more (i.e. discretionary, nonessential items) (Rs 56.8 bn): ii) a Special Festive Advance Scheme which is an interest-free advance to central government employees (Rs 40 bn). On the public investment side authorities announced i) additional spending by the central government (Rs 250 bn) and a lending scheme for state governments, involving a 50-year interest free loan (Rs 120 bn). 
• On November 12, authorities announced a new package (Rs 2650.8 bn) which included: (i) a Production Linked Incentive scheme targeting 13 priority sectors (1459.8 billion Rs.) to be disbursed over 5 years (no impact on the current fiscal year); (ii) more spending on fertilizer subsidies (650 billion Rs.); (iii) spending on urban housing projects (180 billion Rs.); (iv) additional capital expenditure and industrial infrastructure and incentives (102 billion Rs.); (v) support for rural employment (100 billion Rs.) and employment support in the formal sector (60 billion Rs.).</t>
    </r>
  </si>
  <si>
    <r>
      <rPr>
        <b/>
        <sz val="10"/>
        <color theme="1"/>
        <rFont val="Arial"/>
        <family val="2"/>
      </rPr>
      <t>Additional spending</t>
    </r>
    <r>
      <rPr>
        <sz val="10"/>
        <color theme="1"/>
        <rFont val="Arial"/>
        <family val="2"/>
      </rPr>
      <t xml:space="preserve">: 
• Expenditure measures include larger wage subsidies for temporary lay-offs and more generous unemployment benefits; expanded sickness benefits and child care; 
• Scheme to compensate heavily affected, but otherwise sustainable, businesses for unavoidable fixed costs, grants for start-ups; subsidies for domestic air routes.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The reduced VAT rate is temporarily lowered from 12 to 6 percent; suspension of aviation charges; corporate income tax regulations are amended so that companies can re-allocate their current losses towards previous years’ taxed profits, thus lowering their tax liabilities.
• Temporary amendments to the petroleum tax system to improve liquidity in the sector;
• Temporary cut of employers’ social insurance contributions.</t>
    </r>
  </si>
  <si>
    <r>
      <rPr>
        <b/>
        <sz val="10"/>
        <color theme="1"/>
        <rFont val="Arial"/>
        <family val="2"/>
      </rPr>
      <t>Additional spending</t>
    </r>
    <r>
      <rPr>
        <sz val="10"/>
        <color theme="1"/>
        <rFont val="Arial"/>
        <family val="2"/>
      </rPr>
      <t>: doubling resources for public health units; expanding intensive care capacity and equipment at hospitals; expanding health line capacity; support for primary care; the purchasing of vaccines, the cost of managed isolation.</t>
    </r>
  </si>
  <si>
    <r>
      <t>Additional spending</t>
    </r>
    <r>
      <rPr>
        <sz val="10"/>
        <rFont val="Arial"/>
        <family val="2"/>
      </rPr>
      <t xml:space="preserve"> (NZ$ 52.3 bn)</t>
    </r>
    <r>
      <rPr>
        <b/>
        <sz val="10"/>
        <rFont val="Arial"/>
        <family val="2"/>
      </rPr>
      <t xml:space="preserve">: </t>
    </r>
    <r>
      <rPr>
        <sz val="10"/>
        <rFont val="Arial"/>
        <family val="2"/>
      </rPr>
      <t xml:space="preserve"> including wage subsidies available for all employers significantly affected by COVID-19 (NZ $14.8 bn); income relief payment to support people who have lost their job (NZ$ 570 mn); financial support for workers not paid normally during self-isolation (NZ$126 mn); temporary increase in winter energy payment (NZ $480 mn); permanent increase in benefits (NZ$ 2.4 bn in the next four years); infrastructure investment (NZ$ 3.8 bn); support package for the aviation sector (NZ$ 600 mn); tourism recover package (NZ$ 400 mn); government housing program (NZ$ 670 mn); and school infrastructure upgrade (NZ$ 214 mn); and transport projects (NZ$ 600 mn).
</t>
    </r>
    <r>
      <rPr>
        <b/>
        <sz val="10"/>
        <rFont val="Arial"/>
        <family val="2"/>
      </rPr>
      <t xml:space="preserve">Forgone revenue </t>
    </r>
    <r>
      <rPr>
        <sz val="10"/>
        <rFont val="Arial"/>
        <family val="2"/>
      </rPr>
      <t>(NZ$ 5.9 bn):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</si>
  <si>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t>This database summarizes key fiscal measures governments have announced or taken in selected economies in response to the COVID-19 pandemic as of December 31, 2020 for selected economies.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the measures for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</si>
  <si>
    <t xml:space="preserve">• Capital increase in the state-owned bank (BGN 700 Mn) for the provision of financial instruments to support individuals and companies affected by the pandemic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</si>
  <si>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6900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</si>
  <si>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r>
      <t xml:space="preserve">Additional spending and foregone revenue (BGN 0.49 bn in 2020 and 1.07 bn in 2021):
</t>
    </r>
    <r>
      <rPr>
        <sz val="10"/>
        <color theme="1"/>
        <rFont val="Arial"/>
        <family val="2"/>
      </rPr>
      <t>• Purchase of protection equipment as well as for disinfectants, disinfection of work premises, thermometers for remote measurement, PCR tests etc. (86.6 mn in 2020 and 116.7 mn in 2021)
• Support for first-line staff directly involved in activities to prevent the spread of COVID-19 (34.2 mn in 2020 and 157.4 mn in 2021)
• Funding the providers of medical care, dental care and medical diagnostic activities for work in unfavorable conditions in connection with the declared epidemic situation and the treatment of COVID-19 (320.6 mn in 2020 and 427.5 mn in 2021)
• Subsidies, capital transfers and expenses to medical institutions (35.1 mn in 2020 and 35.3 mn in 2021)
• Supplement to the remuneration of hospital care providers (237 mn in 2021)
• Provision of medicinal products to individuals in the fight against the pandemic of COVID-19 / 2021 provision vaccine (BGN 12 mn in 2020 and 94.4 mn in 2021)</t>
    </r>
    <r>
      <rPr>
        <b/>
        <sz val="10"/>
        <color theme="1"/>
        <rFont val="Arial"/>
        <family val="2"/>
      </rPr>
      <t xml:space="preserve">
Foregone Revenue:
</t>
    </r>
    <r>
      <rPr>
        <sz val="10"/>
        <color theme="1"/>
        <rFont val="Arial"/>
        <family val="2"/>
      </rPr>
      <t>• Exemption from VAT and customs duties on imports of certain medical supplies needed to combat the effects of the COVID-19 pandemic (2.8 mn in 2021)</t>
    </r>
  </si>
  <si>
    <r>
      <t xml:space="preserve">Additional spending: 
• </t>
    </r>
    <r>
      <rPr>
        <sz val="10"/>
        <rFont val="Arial"/>
        <family val="2"/>
      </rPr>
      <t>Purchases of medical equipment, vaccine etc. (CZK 19.4bn).
• The government approved higher premium payments on state-covered health insurance--increase by CZK500 per person as of June (CZK 21.1bn).
• Debt relief of hospitals (CZK 6.6bn). 
• Bonus for workers in social services, hospitals, emergency responders, hygienically stations (CZK 17.2 bn). 
• Other health measures: (mobile collection teams, Smart Quarantine establishment, anti-covid programmes for firms) (CZK 2.3bn).</t>
    </r>
  </si>
  <si>
    <r>
      <rPr>
        <b/>
        <sz val="10"/>
        <rFont val="Arial"/>
        <family val="2"/>
      </rPr>
      <t xml:space="preserve">Additional spending: 
</t>
    </r>
    <r>
      <rPr>
        <sz val="10"/>
        <rFont val="Arial"/>
        <family val="2"/>
      </rPr>
      <t xml:space="preserve">• Payments for employment support: Employees affected during the shutdown due to government measures will receive full wages of which the government covered 80 percent up to CZK 39,000/month (since October the government has covered 100% up to CZK 50,000/month in case of business shutdown due to government measures). Staff in businesses affected receive 60-100% of gross wages with a state contribution of 60% of total labor costs per employee (up to CZK 29,000/month) (CZK 25.6bn).
• Care Allowance to parents, who cannot work because they need to care for children up to 13 years, of 80% of eligible income until end of June (calculated based on a progressive table) for sick leave. During the second wave of COVID, care allowance to parents with children up to 10 years, 70% of eligible income (CZK 10.2bn). 
• Care Allowance to self-employed persons (CZK 434 per day in March, CZK 500 per day since April), who cannot work because they need to care for children up to 13 years. During the second wave of COVID for parents with children up to 10 years, CZK 400 per day (CZK 2.6bn)
• The state covers half of business property rents in Q2-Q4 (CZK 8.8bn).
• Programs in support of the sports, culture, tourism, transport, restaurants, agriculture and other closed sectors (CZK 28.4bn).
• Other expenditure (CZK 3bn).
• One-off cash benefit for pensioners in amount of CZK 5000 (CZK 15.2bn).
</t>
    </r>
    <r>
      <rPr>
        <b/>
        <sz val="10"/>
        <rFont val="Arial"/>
        <family val="2"/>
      </rPr>
      <t xml:space="preserve">Forgone Revenue: 
</t>
    </r>
    <r>
      <rPr>
        <sz val="10"/>
        <rFont val="Arial"/>
        <family val="2"/>
      </rPr>
      <t>•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(CZK 13.3bn).
• Loss carryback measure: Taxpayers who report tax losses in 2020 due to the state of emergency, will be able to reduce their tax bases for the tax years 2019 and 2018 by this loss (maximum CZK 30 million) (CZK 20bn).
• Reduced VAT rate to 10% for accommodation, sports and culture services (CZK 1.2bn).
• Reduced road tax rate for vehicles above 3.5t (CZK 1bn).
• Abolition of the real property transfer tax (CZK 13.8bn).
• Lower dividends from Airport Prague (CZK 1.5bn).
• Self-employed receive lump sum of CZK 500 per day during Mar 12 and Jun 8 (CZK 20.2bn).  
• Additional lump-sum assistance grant (CZK 500 per day) to micro businesses during Mar 12 and Jun 8. Eligible businesses are limited liability companies with up to two partners and turnover of at least at CZK 180,000 in 2019 (CZK 1.8bn). Additional lump-sum assistance grant (CZK 350 per day) to contract workers (not employees) (CZK 1bn)
• Selected (from affected sectors) lump-sum for self-employed persons, small business (Ltd) and contractors (CZK 500 per day) during 5 Oct and 23 Jan (CZK 13.7bn).</t>
    </r>
  </si>
  <si>
    <r>
      <t>Additional spending (€8.1 bn):</t>
    </r>
    <r>
      <rPr>
        <sz val="10"/>
        <color theme="1"/>
        <rFont val="Arial"/>
        <family val="2"/>
      </rPr>
      <t xml:space="preserve"> on medical equipment, tests, administration etc. Measures include advance payments to hospitals as well as a structural increase in the budget for mental health care and the federal health sector. An additional one-off payment will also be allocated to federal health workers in 2020.</t>
    </r>
  </si>
  <si>
    <r>
      <rPr>
        <b/>
        <sz val="10"/>
        <rFont val="Arial"/>
        <family val="2"/>
      </rPr>
      <t xml:space="preserve">Additional spending (€19.6 bn): 
</t>
    </r>
    <r>
      <rPr>
        <sz val="10"/>
        <rFont val="Arial"/>
        <family val="2"/>
      </rPr>
      <t xml:space="preserve">• Federal government eased access to temporary unemployment for firms affected by Covid-19, raised the benefit replacement rate, and introduced a daily premium, as well as eased access to replacement income for the self-employed. It also introduced Covid-19 parental leave and increased unemployment benefits (extension of switching on allowance for the young etc.), social assistance benefits, and support to local social services. Key temporary measures have been extended until end-August, end-December 2020 (replacement income), or end-March 2021 (temporary unemployment), with eligibility widened and benefits increased for some of them to support firms and households through the second lockdown (Nov-Dec). Additional measures have been taken to support hard-hit sectors and vulnerable groups. 
• Regional governments provided transfers for companies and self-employed affected by closures or significantly reduced turnover; further support to specific, affected sectors in addition to the health care sector; support for utility bills for affected households; and a host of smaller support measures. Similar measures have been reintroduced in Oct-Nov in the context of the re-imposition of restrictions and the second lockdown.
</t>
    </r>
    <r>
      <rPr>
        <b/>
        <sz val="10"/>
        <rFont val="Arial"/>
        <family val="2"/>
      </rPr>
      <t xml:space="preserve">
Forgone revenue (€4.4 bn): </t>
    </r>
    <r>
      <rPr>
        <sz val="10"/>
        <rFont val="Arial"/>
        <family val="2"/>
      </rPr>
      <t xml:space="preserve"> 
• Suspension of penalties for delays or non-performance of suppliers to the public sector.
• Loss carry backward for CIT and PIT, tax exemption for regional support measures (for firms affected by closures and reduced turnover), social security contribution exemption for self-employed, temporary reduction in VAT in the hospitality sector (e.g., food and non-alcoholic beverages), increase in the investment allowance for SMEs and natural persons (extended until end-2022), and increase in the CIT allowance for restaurant and reception costs.</t>
    </r>
  </si>
  <si>
    <t>• The federal government launched a guarantee mechanism for all new credits and credit lines, initially with a maximum maturity of 12 months granted by banks to viable non-financial corporations and self-employed. Modified end-July to extend the maturity to 36 months, replace the loss tranching by uniform loss sharing between government and banks (80-20), and ease the viability criterion. The modified scheme applies to 10bn out of a total envelope of 50bn total envelope. Take-up is about 1.5bn.
· Regional governments also provide guarantees for affected companies and self-employed in need of bridge loans. Take-up is about 0.4bn.
· The federal government signed a memorandum of understanding with Credendo ECA, Assuralia and private credit-insurance firms, committing to provide reinsurance for short-term (&lt; 2yrs) trade credit insurance.</t>
  </si>
  <si>
    <r>
      <t xml:space="preserve">Additional spending: </t>
    </r>
    <r>
      <rPr>
        <sz val="10"/>
        <color theme="1"/>
        <rFont val="Arial"/>
        <family val="2"/>
      </rPr>
      <t xml:space="preserve">Emergency measures to upgrade the main national hospital, pharmaceuticals, food provision and medical equipment to the country’s hospitals. </t>
    </r>
  </si>
  <si>
    <r>
      <rPr>
        <b/>
        <sz val="10"/>
        <rFont val="Arial"/>
        <family val="2"/>
      </rPr>
      <t>Additional spending:</t>
    </r>
    <r>
      <rPr>
        <sz val="10"/>
        <rFont val="Arial"/>
        <family val="2"/>
      </rPr>
      <t xml:space="preserve"> Transfers to vulnerable families (0.1 percent of GDP), citizen security to enforce COVID-19 measures (0.2 percent of GDP) and investments to strengthen the agricultural sector (0.5 percent of GDP). </t>
    </r>
  </si>
  <si>
    <r>
      <rPr>
        <b/>
        <sz val="10"/>
        <color theme="1"/>
        <rFont val="Arial"/>
        <family val="2"/>
      </rPr>
      <t>Additional spending (324 bn):</t>
    </r>
    <r>
      <rPr>
        <sz val="10"/>
        <color theme="1"/>
        <rFont val="Arial"/>
        <family val="2"/>
      </rPr>
      <t xml:space="preserve"> (i) social safety net programs: urgent food aid, subsidies to help the most vulnerable to pay utility bills (water, electricity) and support to diaspora (CFAF 103 bn - 0.72% of GDP), (ii) other economic support measures, such as direct support to heavily hit sectors (CFAF 100 bn - 0.70% of GDP), (iii) some arrears to private sector suppliers will be settled faster than originally anticipated (CFAF 87 billion - 0.61% of GDP), and (iv) action on securing key food and energy supplies (CFAF 34 billion - 0.24%  of GDP).
</t>
    </r>
    <r>
      <rPr>
        <b/>
        <sz val="10"/>
        <color theme="1"/>
        <rFont val="Arial"/>
        <family val="2"/>
      </rPr>
      <t xml:space="preserve">
Forgone revenue (40 bn)</t>
    </r>
    <r>
      <rPr>
        <sz val="10"/>
        <color theme="1"/>
        <rFont val="Arial"/>
        <family val="2"/>
      </rPr>
      <t>: Tax rebates for companies that keep their workers on payroll or pay 70% of salary (FCFA 40 billion - 0.28% of GDP).</t>
    </r>
  </si>
  <si>
    <r>
      <rPr>
        <b/>
        <sz val="10"/>
        <color theme="1"/>
        <rFont val="Arial"/>
        <family val="2"/>
      </rPr>
      <t>Deferred revenue</t>
    </r>
    <r>
      <rPr>
        <sz val="10"/>
        <color theme="1"/>
        <rFont val="Arial"/>
        <family val="2"/>
      </rPr>
      <t>: Deadline for payment of suspended VAT extended from 12 to 24 months (CFAF 15 billion). Accelerated refund of VAT credits, deferral of CIT for SMEs and companies in hardest hit sectors.</t>
    </r>
  </si>
  <si>
    <r>
      <rPr>
        <b/>
        <sz val="10"/>
        <color theme="1"/>
        <rFont val="Arial"/>
        <family val="2"/>
      </rPr>
      <t xml:space="preserve">Additional spending ($2637.0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cost from this Act is $38.8 bn.
• Coronavirus Aid, Relief, and Economic Security Act (March 27, 2020) includes $437 bn unemployment insurance and $350 bn in emergency appropriations, and $349 bn forgivable small business loans and other items. Estimated increase in spending from this Act is $1512 bn.
• Paycheck Protection Program and Health Care Enhancement Act (April 23, 2020) includes $62.1 bn for the Small Business Administration's loan programs and other expense, and $321 bn for the Paycheck Protection Program and small business assistance (of the $310 bn for the Paycheck Protection Program only $176 bn was used).
• The federal government reallocated (August 8, 2020) $44 billion from the Department of Homeland Security's Disaster Relief Fund to provide extra unemployment benefits of $300 per week following the expiration of enhanced unemployment benefits. Of the $44 bn, $18 bn is estimated to be pre-COVID-19 appropriated funds, therefore counted as additional COVID-19 expenditure.
• Consolidated Appropriation Act (Dec.21, 2020) includes $324 bn support to households, $395 bn support for businesses, $92 bn for education and childcare, and $7 bn other support.
</t>
    </r>
    <r>
      <rPr>
        <b/>
        <sz val="10"/>
        <color theme="1"/>
        <rFont val="Arial"/>
        <family val="2"/>
      </rPr>
      <t xml:space="preserve">Forgone revenue ($382.5 bn): </t>
    </r>
    <r>
      <rPr>
        <sz val="10"/>
        <color theme="1"/>
        <rFont val="Arial"/>
        <family val="2"/>
      </rPr>
      <t xml:space="preserve">
• Coronavirus Aid, Relief, and Economic Security Act (March 27, 2020) includes tax rebates: $1+K39,200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 Families First Coronavirus Response Act (March 16, 2020) has revenue implications on the budget, estimated to cost around $94 bn.</t>
    </r>
  </si>
  <si>
    <t xml:space="preserve">• Established a Business Credit Availability Program (BCAP) to provide support through the Business Development Bank of Canada (BDC) and Export Development Canada (EDC), which work with private sector lenders to coordinate on credit solutions for individual businesses, including in sectors such as oil and gas, air transportation, exportation, and tourism. This includes combination of loan guarantees and shared financing arrangements. The BCAP consists of: the Canada Emergency Business Account (for small firms), the Mid-Market Guarantee and Financing Program, the Large Employer Emergency Financing Facility, and Support for the Agriculture and Agri-Food Sector.
</t>
  </si>
  <si>
    <r>
      <t xml:space="preserve">Additional spending (AUD 16.6 bn):
</t>
    </r>
    <r>
      <rPr>
        <sz val="10"/>
        <rFont val="Arial"/>
        <family val="2"/>
      </rPr>
      <t xml:space="preserve"> •Australia is co-funding the WHO’s Pacific regional coronavirus response plan (together with New Zealand).
•The health spending package provides support across primary care, aged care, hospitals and research, to diagnose and treat people with the Coronavirus.
•In relation to aged care, temporary measures will be introduced to support the aged care sector, which helps ensure the continuity of residential and home care. 
•The Commonwealth government will pay for half of all additional costs incurred by states and territories in diagnosing and treating patients with, or suspected of having, COVID-19, and efforts to minimize the spread of the virus.
• The 2020-21 Mid-Year Economic and FIscal Outlook (MYEFO), released on December 17, includes cost of vaccine procurement and rollout.</t>
    </r>
  </si>
  <si>
    <r>
      <rPr>
        <b/>
        <sz val="10"/>
        <color theme="1"/>
        <rFont val="Arial"/>
        <family val="2"/>
      </rPr>
      <t>Additional spending (AUD 226 bn)</t>
    </r>
    <r>
      <rPr>
        <sz val="10"/>
        <color theme="1"/>
        <rFont val="Arial"/>
        <family val="2"/>
      </rPr>
      <t xml:space="preserve">: 
At the Commonwealth government level 
• Measures include tax-free cash flow assistance, wage subsidies, payments to lower-income Australians (pensioners, other social security and veteran income support recipients, and eligible concession cardholders), and the Home Builder program. 
• FY2021 budget, released on October 6, includes additional spending measures under the JobMaker program, comprising job hiring credit, infrastructure projects, and others for job creation. 
• The 2020-21  MYEFO extends coronavirus supplement and other income support measures through end-March 2021.  
At state and local government levels 
• Measures include discount utility bills, cash payments to vulnerable households, and construction and infrastructure projects.
• The Commonwealth government will help finance fast-track infrastructure projects across States and Territories and the arts industry for job creation, as well as the new home care package for the senior citizens. 
• Pandemic Leave Disaster Payment has been arranged with the State and Territory governments, which provides a lump sum payment to help workers during their 14-day self-isolation period.
</t>
    </r>
    <r>
      <rPr>
        <b/>
        <sz val="10"/>
        <color theme="1"/>
        <rFont val="Arial"/>
        <family val="2"/>
      </rPr>
      <t>Forgone revenue (AUD 74 bn)</t>
    </r>
    <r>
      <rPr>
        <sz val="10"/>
        <color theme="1"/>
        <rFont val="Arial"/>
        <family val="2"/>
      </rPr>
      <t xml:space="preserve">: 
At the Commonwealth government level 
• Measures include raising the asset write-off threshold, accelerated depreciation deductions, and COVID-19 Relief and Recovery Fund which provides waiver of fees and charges to affected industries (e.g., aviation industry), regions, and communities.
• FY2021 budget includes additional revenue measures under the JobMaker program, comprising extension of immediate expensing, loss carry-backs, income tax cut for lower- and middle-income earners, and tax incentives for R&amp;D.
At state and local government levels
• Measures include payroll tax relief for businesses. </t>
    </r>
  </si>
  <si>
    <t xml:space="preserve">• The reinstatement of a government fund that buys bonds issued by Norwegian companies to increase liquidity and access to capital in the Norwegian bond market, with a ceiling of NOK 50 bn.                                      • Increased funding for Innovation Norway’s innovation loan scheme (NOK 1.6 bn). </t>
  </si>
  <si>
    <t>• Establish a government guarantee scheme for bank loans to SMEs (NOK 50 bn).              
• A scheme for re-insurance of private credit insurance providers (NOK 20 bn).                    
• A guarantee scheme for the aviation industry (NOK 6 bn).                              
 • A loan scheme for package tour operators  for trips cancelled due to the pandemic (NOK 2 bn).</t>
  </si>
  <si>
    <t>• S$22 bn in loan capital was set aside to help businesses facing cash flow challenges with loan obligations and insurance premium payments.</t>
  </si>
  <si>
    <r>
      <rPr>
        <b/>
        <sz val="10"/>
        <color theme="1"/>
        <rFont val="Arial"/>
        <family val="2"/>
      </rPr>
      <t>Additional spending (€4.4 bn):</t>
    </r>
    <r>
      <rPr>
        <sz val="10"/>
        <color theme="1"/>
        <rFont val="Arial"/>
        <family val="2"/>
      </rPr>
      <t xml:space="preserve">
• Budget support from the contingency fund to the Ministry of Health (€1.4 bn); advance transfer to the regions for health services (€2.9 bn); additional healthcare related spending including research related to COVID-19 (€160 mn).</t>
    </r>
  </si>
  <si>
    <r>
      <rPr>
        <b/>
        <sz val="10"/>
        <rFont val="Arial"/>
        <family val="2"/>
      </rPr>
      <t>Additional spending (€40.6 bn):</t>
    </r>
    <r>
      <rPr>
        <sz val="10"/>
        <rFont val="Arial"/>
        <family val="2"/>
      </rPr>
      <t xml:space="preserve">
• Unemployment benefit for workers temporary laid off under the ERTE due to COVID-19, with no requirement for prior minimum contribution or reduction of accumulated entitlement (about €19 bn depending on duration); and exemptions of social contributions for companies that maintain employment under the ERTEs (about €6.8 bn);
• An allowance for self-employed workers affected by economic activity suspension (about €5¾ bn depending on the duration), and exemption of social contributions for self-employed that receive this benefit (about €2.9 bn or more depending on the duration)
• Increased sick pay for infected or quarantined workers (€1.4 bn); 
• Introduction of a new means-tested "minimum income scheme"; and new rental assistance programs for certain vulnerable renters and additional state contribution to the State Housing Plan 2018-21;
• Benefits for workers under permanent discontinuous contracts with activities suspended due to COVID-19; temporary entitlement to unemployment benefits for workers unemployed in their probationary period; a temporary monthly allowance for temporary workers whose contracts expired during state of emergency and do not qualify for unemployment benefits; a temporary subsidy for household employees affected by COVID-19; and other support for households and firms.
</t>
    </r>
    <r>
      <rPr>
        <b/>
        <sz val="10"/>
        <rFont val="Arial"/>
        <family val="2"/>
      </rPr>
      <t xml:space="preserve">Forgone revenue (€1.1 bn): </t>
    </r>
    <r>
      <rPr>
        <sz val="10"/>
        <rFont val="Arial"/>
        <family val="2"/>
      </rPr>
      <t xml:space="preserve">
• Temporary waiver of VAT on purchases of certain medical material, as well COVID-19 tests and vaccines;
• Flexibility in filing income tax and VAT installment payment for SMEs and self-employed;
• Tax incentives for landlords that reduce rents of properties used for activities related to the hotel, restaurant and tourism industries;
• 6-month moratorium on social security contributions  for the self-employed and companies in selected industries;
• Reduction in the contribution for Employed Agricultural Workers who have completed a maximum of 55 real days of contribution in 2019;
• Reduction in VAT on digital publications and other revenue measures.</t>
    </r>
  </si>
  <si>
    <r>
      <rPr>
        <b/>
        <sz val="10"/>
        <color theme="1"/>
        <rFont val="Arial"/>
        <family val="2"/>
      </rPr>
      <t xml:space="preserve">Additional spending (€17.8 bn): 
</t>
    </r>
    <r>
      <rPr>
        <sz val="10"/>
        <color theme="1"/>
        <rFont val="Arial"/>
        <family val="2"/>
      </rPr>
      <t>• Support for streamlining and boosting health insurance (paid sick leave) for the sick or their caregivers, higher spending on health supplies; bonuses for health workers.
• Additional investment and equipment in the health sector announced in the Plan de Relance for 2021 and beyond.</t>
    </r>
  </si>
  <si>
    <r>
      <rPr>
        <b/>
        <sz val="10"/>
        <rFont val="Arial"/>
        <family val="2"/>
      </rPr>
      <t>Additional spending (€126.5 bn):</t>
    </r>
    <r>
      <rPr>
        <sz val="10"/>
        <rFont val="Arial"/>
        <family val="2"/>
      </rPr>
      <t xml:space="preserve"> Support for wages of workers under the subsidized short-time work scheme; direct financial support for affected affected small and very small enterprises (and regardless of size for heavily affected firms in December 2020), liberal professions, and independent workers; direct transfers for low-income families; extension of expiring unemployment and other benefits; additional transfers for self-employed; additional spending in social programs (expired); incentives to purchase greener vehicles; subsidies for green investment for the auto and aerospace sectors. The recovery plan includes spending mostly from 2021 onward. Key measures include: subsidies for energy renovation of buildings; investment aimed at ecological transformation of the transport sector and the development of clean energy; extension of the short-time work scheme; financing for training programs; hiring subsidies and other support for youth workers; further increase in social transfers for low-income households.
</t>
    </r>
    <r>
      <rPr>
        <b/>
        <sz val="10"/>
        <rFont val="Arial"/>
        <family val="2"/>
      </rPr>
      <t xml:space="preserve">Foregone revenue (€29.7 bn): </t>
    </r>
    <r>
      <rPr>
        <sz val="10"/>
        <rFont val="Arial"/>
        <family val="2"/>
      </rPr>
      <t xml:space="preserve">Exoneration of social security contributions for affected firms in selected sectors; carry back for corporate income taxes; permanent tax cuts (production taxes) announced in the Plan de Relance for 2021 onward. </t>
    </r>
  </si>
  <si>
    <r>
      <rPr>
        <b/>
        <sz val="10"/>
        <rFont val="Arial"/>
        <family val="2"/>
      </rPr>
      <t>Accelerated spending (€17 bn)</t>
    </r>
    <r>
      <rPr>
        <sz val="10"/>
        <rFont val="Arial"/>
        <family val="2"/>
      </rPr>
      <t xml:space="preserve">: Accelerated refund of tax credits (e.g. CIT and VAT).
</t>
    </r>
    <r>
      <rPr>
        <b/>
        <sz val="10"/>
        <rFont val="Arial"/>
        <family val="2"/>
      </rPr>
      <t xml:space="preserve">
Deferred revenue (€38 bn)</t>
    </r>
    <r>
      <rPr>
        <sz val="10"/>
        <rFont val="Arial"/>
        <family val="2"/>
      </rPr>
      <t>: Postponement of social security contributions and tax payment for companies.</t>
    </r>
  </si>
  <si>
    <t>• The authorities announced potential direct equity support to firms (€21 bn euros), mostly in strategic companies.</t>
  </si>
  <si>
    <r>
      <rPr>
        <b/>
        <sz val="10"/>
        <color theme="1"/>
        <rFont val="Arial"/>
        <family val="2"/>
      </rPr>
      <t>Additional spending (€40 bn):</t>
    </r>
    <r>
      <rPr>
        <sz val="10"/>
        <color theme="1"/>
        <rFont val="Arial"/>
        <family val="2"/>
      </rPr>
      <t xml:space="preserve"> on hospital capacity, medical equipment, research, and information campaigns. </t>
    </r>
  </si>
  <si>
    <r>
      <rPr>
        <b/>
        <sz val="10"/>
        <color theme="1"/>
        <rFont val="Arial"/>
        <family val="2"/>
      </rPr>
      <t>Additional spending (€286 bn):</t>
    </r>
    <r>
      <rPr>
        <sz val="10"/>
        <color theme="1"/>
        <rFont val="Arial"/>
        <family val="2"/>
      </rPr>
      <t xml:space="preserve"> including grants to hard hit small businesses and self-employed, increased access to childcare and basic social security benefits, temporary relief to affected tenants, income support for families, and incentivizing green and digital investment. There is also support to firms and households provided through the “Kurzabeit” program, part of which is considered discretionary because the program parameters have been changed.
</t>
    </r>
    <r>
      <rPr>
        <b/>
        <sz val="10"/>
        <color theme="1"/>
        <rFont val="Arial"/>
        <family val="2"/>
      </rPr>
      <t>Forgone revenue (€42 bn):</t>
    </r>
    <r>
      <rPr>
        <sz val="10"/>
        <color theme="1"/>
        <rFont val="Arial"/>
        <family val="2"/>
      </rPr>
      <t xml:space="preserve"> a temporary VAT reduction, corporate tax reliefs, personal income reliefs, and social security contribution reduction.</t>
    </r>
  </si>
  <si>
    <r>
      <rPr>
        <b/>
        <sz val="10"/>
        <color theme="1"/>
        <rFont val="Arial"/>
        <family val="2"/>
      </rPr>
      <t xml:space="preserve">Additional spending (€427.8 bn): </t>
    </r>
    <r>
      <rPr>
        <sz val="10"/>
        <color theme="1"/>
        <rFont val="Arial"/>
        <family val="2"/>
      </rPr>
      <t xml:space="preserve">
• In April 2020, the European Commission announced that the size of the Corona Response Investment Initiative will be raised to €37 bn, which includes an upfront cash injection of €8 bn from the EU cohesion funds, to support public investment for hospitals, labor markets, and stressed regions. The Commission extended the scope of the EU Solidarity Fund by also including a public health crisis within its scope, in view of mobilizing it if needed for the hardest hit EU member states. The Coronavirus Response Investment Initiative Plus (CRII+) introduced greater flexibility to allow that all non-utilized support from the European cohesion funds can be mobilized to the fullest.
•On December 11, EU leaders agreed on the Next Generation EU (NGEU) recovery package, which includes €390 bn in grants to EU members. The main instrument is the Recovery and Resilience Facility (RRF), which will fund member countries’ investments and reforms The NGEU’s grant element comprises: €312.5 bn is from the RRF and will be committed in 2021–2023 (70 percent for 2021 and 2022 and 30 percent for 2023); €47.5 bn to top up cohesion funds (ReactEU) that can be used for investments and expenditures related to the crisis (e.g., investing in active labor market policies, short-time work schemes); €10 bn to top up to the Just Transition Fund to help regions/workers dependent on carbon intensive industries transition away from those industries; R&amp;D (€5 bn); support for private sector investment (€5.6 bn), rural development (€7.5 bn), and rescEU (€1.9 bn).</t>
    </r>
  </si>
  <si>
    <t>•The EU Council agreed on a new pan-European guarantee fund of €25 bn, which could support €200 bn of total financing for hard-hit SMEs throughout the European Investment Bank or national development banks. The guarantee fund comes on top of an earlier support package of up to €40 bn for the European Investment Bank in March, and both packages are likely to be funded by voluntary contributions from member states.</t>
  </si>
  <si>
    <r>
      <rPr>
        <b/>
        <sz val="10"/>
        <color theme="1"/>
        <rFont val="Arial"/>
        <family val="2"/>
      </rPr>
      <t>Additional spending (£211.3 bn)</t>
    </r>
    <r>
      <rPr>
        <sz val="10"/>
        <color theme="1"/>
        <rFont val="Arial"/>
        <family val="2"/>
      </rPr>
      <t xml:space="preserve">:
• Coronavirus Job Retention Scheme to subsidize furloughed employees' wages and firms' social security contributions (initially for 3 months and extended until March 2021); 
• Income support for the self-employed (initially for 3 months and extended for 6 months);
• Paid sick leave for self-isolating individuals and compensation for small firms for up to 2 weeks, and support for low-income people in need to self-isolate.  
• Direct grants for small firms in the most-affected (retail and hospitality) sectors; 
• Support for the vulnerable by expanding the Universal Credit and Working Tax Credit schemes until April 2021; 
• Rent support by increasing the Local Housing Allowance; 
• International support, with £150 million made available to the IMF’s Catastrophe Containment and Relief Trust and £2.2 billion loan to the IMF Poverty Reduction and Growth Trust to help low-income countries;
• Government support for charities; 
• Cover the cost of 25 hours' work a week at the National Minimum Wage for six months for hired unemployed up to 24 years old.
• Provide support to boost work search, skills, and apprenticeships.
• Entitle every diner to a 50% discount of up to £10 in August. 
• Public sector and social housing decarbonization (£1.1bn) and Green Homes Grant (£3bn).
• Support for low-income people in need to self-isolate 
• Help the job search of those claiming unemployment benefits for at least 13 weeks.
• Grant for businesses required to close (£5bn).
• Additional transfers to devolved administrations (£2bn).
</t>
    </r>
    <r>
      <rPr>
        <b/>
        <sz val="10"/>
        <color theme="1"/>
        <rFont val="Arial"/>
        <family val="2"/>
      </rPr>
      <t xml:space="preserve">Forgone revenue (£19.7 bn): </t>
    </r>
    <r>
      <rPr>
        <sz val="10"/>
        <color theme="1"/>
        <rFont val="Arial"/>
        <family val="2"/>
      </rPr>
      <t xml:space="preserve">
• Property tax (business rate) holiday for firms in affected sectors for 12 months.
• Temporary cut on stamp duty land tax for 10 months.
• VAT rate reduction for hospitality, accommodation, and attractions for 8 months.</t>
    </r>
  </si>
  <si>
    <r>
      <rPr>
        <b/>
        <sz val="10"/>
        <color theme="1"/>
        <rFont val="Arial"/>
        <family val="2"/>
      </rPr>
      <t xml:space="preserve">Additional spending (€9 bn): </t>
    </r>
    <r>
      <rPr>
        <sz val="10"/>
        <color theme="1"/>
        <rFont val="Arial"/>
        <family val="2"/>
      </rPr>
      <t xml:space="preserve">including on medical equipment,  staff, and vaccine.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</si>
  <si>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(€93.5 bn): </t>
    </r>
    <r>
      <rPr>
        <sz val="10"/>
        <rFont val="Arial"/>
        <family val="2"/>
      </rPr>
      <t xml:space="preserve">including broadening the wage supplementation fund to provide income support to laid-off workers and the self-employed, vouchers for the payment of babysitters (€56.5 bn), grants for SME to cover rents and utility bill (€29 bn), education (€4 bn), and other (€4 bn) .
</t>
    </r>
    <r>
      <rPr>
        <b/>
        <sz val="10"/>
        <rFont val="Arial"/>
        <family val="2"/>
      </rPr>
      <t>Forgone revenue (€9 bn)</t>
    </r>
    <r>
      <rPr>
        <sz val="10"/>
        <rFont val="Arial"/>
        <family val="2"/>
      </rPr>
      <t>: corporate income tax credits and social security contribution reduction.</t>
    </r>
  </si>
  <si>
    <r>
      <t>Additional spending (BRL 79.3 bn):</t>
    </r>
    <r>
      <rPr>
        <sz val="10"/>
        <color theme="1"/>
        <rFont val="Arial"/>
        <family val="2"/>
      </rPr>
      <t xml:space="preserve"> Federal Government spending (BRL 69.3 bn) and transfers to Local Governments (BRL 10 bn) to combat the health crisis and cover higher health spending.
</t>
    </r>
    <r>
      <rPr>
        <b/>
        <sz val="10"/>
        <color theme="1"/>
        <rFont val="Arial"/>
        <family val="2"/>
      </rPr>
      <t xml:space="preserve">
Forgone revenue (BRL 7.1 bn):</t>
    </r>
    <r>
      <rPr>
        <sz val="10"/>
        <color theme="1"/>
        <rFont val="Arial"/>
        <family val="2"/>
      </rPr>
      <t xml:space="preserve"> a temporary reduction in taxes (IPI, the Industrialized Products Tax, and zero import taxes) for listed imported and domestic goods necessary to combat Covid-19. IPI reduction expires in December 2020</t>
    </r>
  </si>
  <si>
    <r>
      <rPr>
        <b/>
        <sz val="10"/>
        <color theme="1"/>
        <rFont val="Arial"/>
        <family val="2"/>
      </rPr>
      <t xml:space="preserve">Additional spending (BRL 504.7 bn):
</t>
    </r>
    <r>
      <rPr>
        <sz val="10"/>
        <color theme="1"/>
        <rFont val="Arial"/>
        <family val="2"/>
      </rPr>
      <t xml:space="preserve">• Targeted assistance for the elderly, poor, and unemployed, including include (i) expanding the cash transfer program 'Bolsa Família' to accommodate 1.2 million new beneficiaries; (ii) “Covid-19” cash transfer ("Emergency Aid) for informal workers and  low-income households, of BRL600 per month in April-August and BRL 300 per month in September-December; (iii) a subsidized job retention scheme, allowing temporary suspension or reduction of private sector employees working contracts; and (iv) temporary electricity consumption subsidies for poor families. The Federal Government provided extraordinary transfers to subnational governments to compensate for revenue losses and cover larger social assistance and health costs, and granted a stay on debt service payments. Subnational governments were also allowed to renegotiate debts with public banks and multilateral financial institutions.
</t>
    </r>
    <r>
      <rPr>
        <b/>
        <sz val="10"/>
        <color theme="1"/>
        <rFont val="Arial"/>
        <family val="2"/>
      </rPr>
      <t xml:space="preserve">
Forgone revenue (BRL 19.1 bn): 
</t>
    </r>
    <r>
      <rPr>
        <sz val="10"/>
        <color theme="1"/>
        <rFont val="Arial"/>
        <family val="2"/>
      </rPr>
      <t>• Elimination of the financial transactions tax (during 9 months)</t>
    </r>
  </si>
  <si>
    <t>• BRL 6.8 billion credit line to SMEs (to finance payroll costs during 7 months); BRL 48.1 billion support to funds which lend to microbusinesses; BRL 20 billion support to a investment guarantee fund (to finance SMEs), 5bn credit support to the tourism sector.</t>
  </si>
  <si>
    <r>
      <rPr>
        <b/>
        <sz val="10"/>
        <rFont val="Arial"/>
        <family val="2"/>
      </rPr>
      <t xml:space="preserve">Additional spending (RMB 3.1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1.8 tn):
</t>
    </r>
    <r>
      <rPr>
        <sz val="10"/>
        <rFont val="Arial"/>
        <family val="2"/>
      </rPr>
      <t>•  VAT exemptions for goods and services related to epidemic control and for small taxpayers in Hubei; and VAT rate cut from 3% to 1% in other regions until the year end. 
• Waived VAT on interest payments to financial institutions who extend loans of RMB 1 million or less to SMEs and sole proprietors. Instituted a 0.5 percentage point VAT reduction on secondhand vehicles sold by dealers from May until end-2023.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the end of December. 
• Allow companies suffering from serious difficulties to postpone social insurance payments until end-2020.</t>
    </r>
  </si>
  <si>
    <t>• Development bank guarantees program</t>
  </si>
  <si>
    <t>• Development banks to provide loans, particularly to small- and medium-scale enterprises</t>
  </si>
  <si>
    <r>
      <t xml:space="preserve">Credits loans SME (MXN 25 bn)
1. CRÉDITO SOLIDARIO A LA PALABRA
1.1 Crédito solidario a la palabra para empresarios solidarios </t>
    </r>
    <r>
      <rPr>
        <u/>
        <sz val="10"/>
        <rFont val="Arial"/>
        <family val="2"/>
      </rPr>
      <t>http://www.imss.gob.mx/prensa/archivo/202005/280</t>
    </r>
    <r>
      <rPr>
        <sz val="10"/>
        <rFont val="Arial"/>
        <family val="2"/>
      </rPr>
      <t xml:space="preserve"> 
1.2 Crédito solidario a la palabra para trabajadoras del hogar- </t>
    </r>
    <r>
      <rPr>
        <u/>
        <sz val="10"/>
        <rFont val="Arial"/>
        <family val="2"/>
      </rPr>
      <t xml:space="preserve"> http://www.imss.gob.mx/prensa/archivo/202005/289 </t>
    </r>
    <r>
      <rPr>
        <sz val="10"/>
        <rFont val="Arial"/>
        <family val="2"/>
      </rPr>
      <t xml:space="preserve">
1.3 Crédito solidario a la palabra para trabajadores independiente</t>
    </r>
    <r>
      <rPr>
        <u/>
        <sz val="10"/>
        <rFont val="Arial"/>
        <family val="2"/>
      </rPr>
      <t xml:space="preserve"> http://www.imss.gob.mx/prensa/archivo/202005/289</t>
    </r>
    <r>
      <rPr>
        <sz val="10"/>
        <rFont val="Arial"/>
        <family val="2"/>
      </rPr>
      <t xml:space="preserve"> 
Credits loans to family business of Welfare Census (MXN 25 bn) </t>
    </r>
    <r>
      <rPr>
        <u/>
        <sz val="10"/>
        <rFont val="Arial"/>
        <family val="2"/>
      </rPr>
      <t xml:space="preserve">https://www.gob.mx/se/articulos/ante-la-pandemia-del-coronavirus-fortalece-gobierno-federal-apoyo-a-pequenos-negocios?idiom=es 
Loans ISSSTE (MXN 35 bn) https://www.gob.mx/issste/prensa/redisena-el-issste-programa-de-prestamos-personales-2020-para-ayudar-a-reactivar-la-economia-en-el-pais?idiom=es
VAT refunds accelerated https://www.gob.mx/sat/prensa/las-devoluciones-de-impuestos-se-realizan-en-tiempo-y-forma-de-acuerdo-con-la-normatividad-aplicable-17-2020?idiom=es
Frontload pensions (MXN 46.4 bn) https://www.gob.mx/bienestar/prensa/en-apoyo-a-la-economia-popular-se-adelanta-pago-de-pensiones-de-adultos-mayores-y-personas-con-discapacidad?idiom=es 
Payment extensions, unemployment insurance to workers that hold a mortgage with the Housing Institute (MXN 20 bn)
http://www5.diputados.gob.mx/index.php/esl/Comunicacion/Boletines/2020/Marzo/18/3510-La-Comision-de-Vivienda-se-reunio-con-el-titular-del-Infonavit
https://portalmx.infonavit.org.mx/wps/portal/infonavit.web/el-instituto/el-infonavit/sala-de-prensa/!ut/p/z1/jZFNa4NAEIZ_Sw8e67xrqmx6syVd80FQwhI7l6LBbATjBmMr_fdN014CiWZuMzwPvLxDTClxnX2VJmtLW2fVaX_n4CNQQPT6JJZyMfeRIJ4rzCBWY9D6DHgSUC8QSyUjifBtMp2MFyNPaUF84QexhyRKBOKV9KD9fx83JsR9fg_A9-TvAbg_3pr4jNxqwMcAIIaA3w6HUsyITWXzv4eFdT6ShrgptkVTNO5nczrv2vZwfHbgoOs611hrqsLd2L2Da8rOHltKL0k67LXWKcrpI-ffXfjwA2ChJss!/dz/d5/L2dBISEvZ0FBIS9nQSEh/?numeroBoletin=024&amp;mes=abril&amp;anio=2020
</t>
    </r>
    <r>
      <rPr>
        <sz val="10"/>
        <rFont val="Arial"/>
        <family val="2"/>
      </rPr>
      <t xml:space="preserve">
Fonacot Loans (MXN 3 bn) </t>
    </r>
    <r>
      <rPr>
        <u/>
        <sz val="10"/>
        <rFont val="Arial"/>
        <family val="2"/>
      </rPr>
      <t>https://www.fonacot.gob.mx/SaladePrensa/Paginas/comunicados.aspx?idc=396</t>
    </r>
  </si>
  <si>
    <r>
      <rPr>
        <b/>
        <sz val="10"/>
        <rFont val="Arial"/>
        <family val="2"/>
      </rPr>
      <t xml:space="preserve">Additional spending (R 220 bn):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(extended to Jan 2021).
• Increase transfers to households: grants and food distribution and public work program expansions. 
• Increase child support and all other grants from May till Oct.
• Distribute food parcels and provide transfers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(R 26 bn): 
</t>
    </r>
    <r>
      <rPr>
        <sz val="10"/>
        <rFont val="Arial"/>
        <family val="2"/>
      </rPr>
      <t>• Tax subsidy of up to R 750 to employees with an income below R 6,500 per month.
• Skills development levy holiday for four months.</t>
    </r>
  </si>
  <si>
    <r>
      <rPr>
        <b/>
        <sz val="10"/>
        <rFont val="Arial"/>
        <family val="2"/>
      </rPr>
      <t xml:space="preserve">Additional spending (RUB 1.9 tn):  </t>
    </r>
    <r>
      <rPr>
        <sz val="10"/>
        <rFont val="Arial"/>
        <family val="2"/>
      </rPr>
      <t xml:space="preserve">
• Sick leave benefits for the quarantined or self-isolating individuals and increases in unemployment and child benefits 
• Interest rate subsidies for affected companies to finance minimum wages.
• Interest rate subsidies for systemically important companies, conditional on employment keeping above 90 percent, to support working capital.
• Support for large companies (construction, car-makers, air transportation, light industry).
• Credit to affected sectors to protect employment with partial/full asset write-offs if employment is kept above 80%.
• Grants for SMEs in affected industries to cover salaries and disinfection/COVID-19 prevention measures.
• Support to airlines (RUB 23 bn) (subsidies), airports (RUR 11 billion) (subsidies) and car-K60makers (RUB 25 bn) (state procurement and interest rate subsidies).
• Federal transfers to regions.
• Construction sector support, including subsidized rates for a new mortgage program (costed at RUB 6 bn).
</t>
    </r>
    <r>
      <rPr>
        <b/>
        <sz val="10"/>
        <rFont val="Arial"/>
        <family val="2"/>
      </rPr>
      <t xml:space="preserve">Forgone revenue (RUB 460 bn): </t>
    </r>
    <r>
      <rPr>
        <sz val="10"/>
        <rFont val="Arial"/>
        <family val="2"/>
      </rPr>
      <t xml:space="preserve">
•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
• Social contribution and CIT rates for IT firms will be cut permanently: from 14 percent to 7.6 percent for social contributions and from 20 percent to 3 percent for CIT.
• Sick leave benefits for the quarantined or self-isolating individuals and increases in unemployment and child benefits 
• Interest rate subsidies for systemically important and affected companies to finance minimum wages.
• Support for large companies (construction, car-makers, air transportation, light industry).
• Credit to affected sectors to protect employment with partial/full asset write-offs if employment is kept above 80%.
• Grants for SMEs in affected industries to cover salaries.
• Support to airlines (RUB 23 bn) and car-makers (RUB 25 bn) (state procurement and interest rate subsidies).
• Federal transfers to regions.
• Construction sector support, including subsidized rates for a new mortgage program (costed at RUB 6 bn).
Forgone revenue (RUB 474 bn): 
•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
• Social contribution and CIT rates for IT firms will be cut permanently: from 14 percent to 7.6 percent for social contributions and from 20 percent to 3 percent for CIT.</t>
    </r>
  </si>
  <si>
    <r>
      <rPr>
        <b/>
        <sz val="10"/>
        <color theme="1"/>
        <rFont val="Arial"/>
        <family val="2"/>
      </rPr>
      <t xml:space="preserve">Additional spending (PLN 151 bn): </t>
    </r>
    <r>
      <rPr>
        <sz val="10"/>
        <color theme="1"/>
        <rFont val="Arial"/>
        <family val="2"/>
      </rPr>
      <t>Wage subsidies for employees of affected businesses up to 40 percent of average wages; care allowance for children owing to school closures; monthly benefit for self-employed individuals. Includes the nonreturnable portion of the Polish Development Fund's provision of liquidity loans that is treated as an above-the-line expenditure item. Several of these measures have been extended during the second wave, with eligibility limited to companies in sectors most impacted by the partial lockdown.</t>
    </r>
    <r>
      <rPr>
        <b/>
        <sz val="10"/>
        <color theme="1"/>
        <rFont val="Arial"/>
        <family val="2"/>
      </rPr>
      <t xml:space="preserve">
Foregone revenue: (PLN 15.7 bn or 0.7 percent of GDP)</t>
    </r>
    <r>
      <rPr>
        <sz val="10"/>
        <color theme="1"/>
        <rFont val="Arial"/>
        <family val="2"/>
      </rPr>
      <t xml:space="preserve"> For micro firms up to 9 employees social insurance contributions will be covered by the budget for 3 months. For companies employing from 10 to 49 employees 50% of social insurance contributions will be paid by the budget. Extended to month of November for affected industries. </t>
    </r>
  </si>
  <si>
    <t>The share of below-the-line activity in the PFR liquidity loans for firms.</t>
  </si>
  <si>
    <t xml:space="preserve">• Credit guarantees and micro-loans for entrepreneurs from the Polish Development Fund and BGK state-owned development bank estimated to be 74 bn (3.2 percent of GDP)
</t>
  </si>
  <si>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for the construction sector until the end of December 2021 (no cost estimate).</t>
    </r>
  </si>
  <si>
    <r>
      <rPr>
        <b/>
        <sz val="10"/>
        <color theme="1"/>
        <rFont val="Arial"/>
        <family val="2"/>
      </rPr>
      <t>Additional spending</t>
    </r>
    <r>
      <rPr>
        <sz val="10"/>
        <color theme="1"/>
        <rFont val="Arial"/>
        <family val="2"/>
      </rPr>
      <t xml:space="preserve">: 
• Implementation of a Wage Support Scheme and Self-Employed Assistance Scheme, providing financial support to employees who become unemployed during the lockdown/curfew period, as well as those employed in informal sectors or self-employed. The schemes were extended until the borders open for employees in the tourism sector only.
• The government provided Rs 9 billion support to Air Mauritius from its National Resilience Fund.
• In October 2020, the government announced that Rs 9 billion would be redirected from November 2020 until June 2021 funding the following initiatives: (i) The Human Resource Development Council will increase the National Training and Reskilling Intake by around 9,000 unemployed beneficiaries who will be paid monthly stipends, (ii) Employment Support Scheme for SMEs to support 11,000 employees with a monthly payment of Rs 10,200, (iii) Recruitment by Landscape of around 2,000 unemployed people for the National Clean-Up Campaign, (iv) the Air Freight Scheme, incorporated into the Economic Recovery Plan, with two components: supervision of the national airline currently under voluntary administration and support for the export sector.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</si>
  <si>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t>The Parliament amended the law governing the central bank to allow for a range of unconventional financing measures, including 1) one-off exceptional transfer (grant, not advance) from the central bank to the government of the amount R60 bn (12 percent of GDP); 2) setting up an SPV The Mauritius Investment Corporation - with a 2-fold objective: 1. invest in local companies to support the recovery and mitigate contagion of the ongoing economic downturn to the banking sector, thus limiting macro-economic and financial risks; 2. transfer US$2 bill from FX reserves to the SPV to finance different potential investments.
• The Bank of Mauritius made 2.5 percent two-year savings bonds available to retail investors, worth Rs 5 bn (1 percent of GDP).</t>
  </si>
  <si>
    <r>
      <rPr>
        <b/>
        <sz val="10"/>
        <color theme="1"/>
        <rFont val="Arial"/>
        <family val="2"/>
      </rPr>
      <t>Additional spending (10,150 bn pesos):</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and transfer of 243 thousand million pesos to cover hospital payrolls.
· Resources for vaccines and testing capacity.
</t>
    </r>
    <r>
      <rPr>
        <b/>
        <sz val="10"/>
        <color theme="1"/>
        <rFont val="Arial"/>
        <family val="2"/>
      </rPr>
      <t xml:space="preserve">
Forgone revenue (685 bl pesos):</t>
    </r>
    <r>
      <rPr>
        <sz val="10"/>
        <color theme="1"/>
        <rFont val="Arial"/>
        <family val="2"/>
      </rPr>
      <t xml:space="preserve"> a reduction of tariffs for strategic health imports,  VAT exemption on over 100 medical goods.</t>
    </r>
  </si>
  <si>
    <r>
      <rPr>
        <b/>
        <sz val="10"/>
        <color theme="1"/>
        <rFont val="Arial"/>
        <family val="2"/>
      </rPr>
      <t xml:space="preserve">Additional spending:
</t>
    </r>
    <r>
      <rPr>
        <sz val="10"/>
        <color theme="1"/>
        <rFont val="Arial"/>
        <family val="2"/>
      </rPr>
      <t xml:space="preserve">• Expanded transfers for vulnerable groups including expanded social programs and support to workers in the informal sector. 
• Support for recently unemployed workers.
• Payroll subsidy for three months equivalent to 40 percent of the minimum wage per worker for businesses with a revenue fall above 20 percent and a subsidy worth 50% of June's bonuses for employees earning minimum wage for businesses with a revenue fall above 20 percent  
• Increased infrastructure spending to support the recovery.
</t>
    </r>
    <r>
      <rPr>
        <b/>
        <sz val="10"/>
        <color theme="1"/>
        <rFont val="Arial"/>
        <family val="2"/>
      </rPr>
      <t xml:space="preserve">
Forgone revenue: </t>
    </r>
    <r>
      <rPr>
        <sz val="10"/>
        <color theme="1"/>
        <rFont val="Arial"/>
        <family val="2"/>
      </rPr>
      <t xml:space="preserve">
• No road tolls during the quarantine period.
• Elimination of withholding tax for companies in bankruptcy protection.
• Tariff reduction for soy beans and corn, no VAT for internet connection and new trucks.
• No interest costs on delayed payment of electricity and gas for most strata 1-4 households. Lowered interest rate on tax arrears.
• For a duration of six months, public sector workers earning between Col Pesos 10-15 mn will pay additional taxes worth 10% of their salaries, those earning above 15 mn will contribute 15%.</t>
    </r>
  </si>
  <si>
    <t>Support to SMEs through the National Guarantee Fund, with the government providing a capital injection of 0.2 percent of GDP to guarantee loans up to 2.5 percent of GDP.</t>
  </si>
  <si>
    <r>
      <rPr>
        <b/>
        <sz val="10"/>
        <rFont val="Arial"/>
        <family val="2"/>
      </rPr>
      <t xml:space="preserve">Additional spending:
• </t>
    </r>
    <r>
      <rPr>
        <sz val="10"/>
        <rFont val="Arial"/>
        <family val="2"/>
      </rPr>
      <t>Compensation scheme for the cancellation and postponement of major events following COVID-19 (Announced: DKK 2.4 billion)
• Temporary salary compensation between 75% and 90% of workers salary (Announced: DKK 6.2 billion, Uptake: DKK 12.7 billion) Temporary compensation scheme for self-employed and freelancers (Announced: DKK 14.1 billion Uptake: DKK 5.9 bn).
• Sickness benefit reimbursement (Announced: DKK 1.7 billion) and increased access to unemployment benefits and sickness benefits (Announced: DKK 0.3 billion). 
• Temporary compensation scheme for companies’ fixed costs (Announced: DKK 65.3 billion, Uptake: DKK 7.1 bn). 
• Boosting liquidity and facilitating the advancement and completion of various construction projects in the Danish municipalities and regions (Announced: DKK 2.5 billion).
• Other initiatives (about DKK 2 bn)
• UI benefits expanded eligibility (Announced: DKK 0.4 bn)
• Extension of cultural aid packages to 8/8 (Announced: DKK 0.1 bn)
• One-time grants to low-income families (Announced: DKK 1.8 bn).
• Increase in corporate deductions for R&amp;D (Announced DKK 1.3 bn).
• Support for tourism sector (Announced DKK 0.8 bn).
• Export package (Announced DKK 0.5 bn).</t>
    </r>
  </si>
  <si>
    <t>• Increase the Danish Students’ Loan Scheme (DKK 1.5 billion). 
• Interest free loans based on VAT payments and payroll tax payments (DKK 35 billion). 
• Loans and equity to start-ups and high growth enterprises (Announced: less than DKK 3.4 billion, Uptake: DKK 1.6 bn) State capital injection into Recapitalization Fund (DKK 10 bn)
• State capital injection into Restart Fund (administered by the Growth Fund) (DKK 3 bn)
• Plan to recapitalize Scandinavian Airlines (up to DKK 6 bn)</t>
  </si>
  <si>
    <t xml:space="preserve">• The government will guarantee 70% of the value of new loans to 1) large companies that can demonstrate a fall in turnover over more than 30 percent and 2) SMEs that have seen operating profits fall by more than 30 percent (Announced: DKK 60.7 bn Uptake 7.4 bn). 
• Credit guarantee for Scandinavian Airlines (SAS). (Announced DKK 1 bn)
• Increased access to export credit for SMEs. (Announced DKK 1.3 bn Uptake: DKK 30 bn) 
• Strengthening the Travel Guarantee Fund. (Announced DKK 1.5 bn)
</t>
  </si>
  <si>
    <t>On April 9 2020, the euro area finance ministers (Eurogroup) agreed on establishing safety nets for workers, businesses and sovereigns, amounting to a package of which €340 bn were below-the-line measures:
•A new and temporary EU unemployment reinsurance fund (SURE) will provide up to €100 bn in loans on favorable terms to governments, in support of national unemployment and short-time work schemes. Loans will be guaranteed by the EU budget and EU member states.
•The ESM will provide Pandemic Crisis Support to its members to finance crisis-related health spending of up to 2 percent of a requesting member’s 2019 GDP. Should all 19 countries draw from the credit line, this would amount to around €240 bn.
On December 11, EU leaders agreed on the Next Generation EU (NGEU) recovery package, which includes €360 bn in loans from the Recovery and Resilience Facility (RRF), for which EU members can apply for to finance parts of their national recovery and resilience plans.</t>
  </si>
  <si>
    <t>- Concessional loans and guarantees to affected firms through the public and private financial institutions. (JPY 118 trillion)
- Public financial institutions' provision of subordinated loans (quasi-equity) and equities (JPY 2.7 trillion)
- Public financial institutions' loans to affected hospitals and clinics (JPY 3.5 trillion)
- The university fund (JPY 4.0 trillion) 
- Other quasi-fiscal operations using the Development Bank of Japan and other agencies (primarily for infrastructure projects) (JPY 15 trillion)</t>
  </si>
  <si>
    <t>• Concessional loans and guarantees to affected firms through the public and private financial institutions. (JPY 118 tn)• Public financial institutions' provision of subordinated loans (quasi-equity) and equities (JPY 2.7 tn)
• Public financial institutions' loans to affected hospitals and clinics (JPY 3.5 tn)
• The university fund (JPY 4.0 tn) 
• Other quasi-fiscal operations using the Development Bank of Japan and other agencies (primarily for infrastructure projects) (JPY 15 tn)</t>
  </si>
  <si>
    <r>
      <t>Additional spending (JPY 75 tn):</t>
    </r>
    <r>
      <rPr>
        <sz val="10"/>
        <color theme="1"/>
        <rFont val="Arial"/>
        <family val="2"/>
      </rPr>
      <t xml:space="preserve">
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 tn).
Additional measures announced May 27 include: 
• Transfers to local governments (JPY 2 tn); 
• Expansion of work subsidies (JPY 1.3 tn); 
• Subsidies for public/private financial institutions' lending (JPY 11.7 tn); 
• Replenishment of cash transfers for firms (JPY 1.9 tn); 
• Subsidies to affected firms for rent payment (JPY 2 tn).
The government announced additional measures on December 8, including: 
• Incentives for firms to invest in green technologies (JPY 2.0 tn)
• Subsidies to accelerate business restructuring of SMEs (JPY 1.1 tn)
• Extension of the Employment Adjustment Subsidy (JPY 1.5 tn)
• Transfers to the local governments (JPY1.5 tn)
•  Subsidies for financial institutions' lending (JPY 3.2 tn)
•  Measures to enhance national resilience (primarily public investments) (JPY 4.4 tn)
In April 2020 onwards, the government decided to spend a part of the COVID-19 reserve fund on measures (including below measures) totaling JPY 4.7 tn.
•  Replenishment of the cash transfer program for affected firms (JPY 0.9 tn)
•  Replenishment of the emergency loan program for affected households (JPY 0.5 tn)
•  Enhancement of healthcare capacity (JPY1.4 tn)
•  Procurement of vaccines (JPY 0.7 tn)
•  Top up the Employment Adjustment Subsidy (JPY 0.5 tn)
</t>
    </r>
    <r>
      <rPr>
        <b/>
        <sz val="10"/>
        <color theme="1"/>
        <rFont val="Arial"/>
        <family val="2"/>
      </rPr>
      <t xml:space="preserve">
Forgone revenue</t>
    </r>
    <r>
      <rPr>
        <sz val="10"/>
        <color theme="1"/>
        <rFont val="Arial"/>
        <family val="2"/>
      </rPr>
      <t>: Revenue measures included in the past economic packages include expansion of the loss carry-back and carry-forward schemes, tax incentives for firms’ decarbonization and digitalization, and reduction of property tax and the aviation fuel tax.</t>
    </r>
  </si>
  <si>
    <r>
      <rPr>
        <b/>
        <sz val="10"/>
        <color theme="1"/>
        <rFont val="Arial"/>
        <family val="2"/>
      </rPr>
      <t>Additional spending (JPY 9 tn):</t>
    </r>
    <r>
      <rPr>
        <sz val="10"/>
        <color theme="1"/>
        <rFont val="Arial"/>
        <family val="2"/>
      </rPr>
      <t xml:space="preserve">
• Production, procurement and distribution of critical equipment such as masks and ventilators (JPY 0.8 tn)
•Transfers to local governments to be used for their health- and long-term care related measures including cash handouts to medical and long-term care practitioners (JPY 3.7 tn)
•  Other health-related measures (procurement of vaccines, etc.) (JPY 4.8 tn)</t>
    </r>
  </si>
  <si>
    <r>
      <t>Lebanon</t>
    </r>
    <r>
      <rPr>
        <vertAlign val="superscript"/>
        <sz val="9"/>
        <color theme="1"/>
        <rFont val="Arial"/>
        <family val="2"/>
      </rPr>
      <t>1</t>
    </r>
  </si>
  <si>
    <r>
      <rPr>
        <vertAlign val="superscript"/>
        <sz val="10"/>
        <color theme="1"/>
        <rFont val="Arial"/>
        <family val="2"/>
      </rPr>
      <t>1</t>
    </r>
    <r>
      <rPr>
        <sz val="10"/>
        <color theme="1"/>
        <rFont val="Arial"/>
        <family val="2"/>
      </rPr>
      <t xml:space="preserve"> Lebanon measures are unaccounted because of lack of funding or lack of data.</t>
    </r>
  </si>
  <si>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All measures are as of December 31, 2020, and quantified in gross terms, that is regardless of how they are financed or their net impact on the government budget. 'mn', 'bn', and 'tn' refer to million, billion, and trillion respectively; 'LC bn' refers to local currency billion and 'n.a.' are not available. Numbers in U.S. dollar and percent of GDP are based on January 2021 World Economic Outlook Update for 2020 estimates unless otherwise stated. For Argentina, U.S. dollar values use end-December 2020 exchange rate. G20 = Group of Twenty; AE = Advanced Economy; EM = Emerging Market; LIDC = Low Income Developing Country. </t>
  </si>
  <si>
    <r>
      <rPr>
        <b/>
        <sz val="10"/>
        <color theme="1"/>
        <rFont val="Arial"/>
        <family val="2"/>
      </rPr>
      <t>Additional spending ($475 bn)</t>
    </r>
    <r>
      <rPr>
        <sz val="10"/>
        <color theme="1"/>
        <rFont val="Arial"/>
        <family val="2"/>
      </rPr>
      <t xml:space="preserve">
•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cost of $178.9 bn. 
• Coronavirus Aid, Relief, and Economic Security Act (March 27, 2020) approved $128.8 bn for additional health spending, which includes funding for hospitals ($100 bn), the Center of Disease Control ($4.3 bn), and vaccine development and expanding Medicare payments and provision of tax advantages for certain medical expense.
• Paycheck Protection Program and Health Care Enhancement Act (April 23, 2020) includes $75 bn for hospitals and $25 bn for testing, with an estimated budget cost of $99.6 bn.
• Consolidated Appropriation Act (Dec.21, 2020) includes $20 bn for vaccine procurement, $9 bn for vaccine distribution, $22 bn for testing/tracing/covid mitigation programs , $9 bn for healthcare providers and other support, with a total estimated cost of $69.5 bn.
</t>
    </r>
    <r>
      <rPr>
        <b/>
        <sz val="10"/>
        <color theme="1"/>
        <rFont val="Arial"/>
        <family val="2"/>
      </rPr>
      <t>Forgone revenue ($9 bn)</t>
    </r>
    <r>
      <rPr>
        <sz val="10"/>
        <color theme="1"/>
        <rFont val="Arial"/>
        <family val="2"/>
      </rPr>
      <t xml:space="preserve">
• CARES act includes expansion of qualified medical expenses which is estimated to reduce revenue by $9 bn.
</t>
    </r>
  </si>
  <si>
    <t>•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 Road tolls were exempted beginning February 17, and some service fees charged by airports and railways were cut. Road tolls were reinstated on May 6. 
• Electricity prices were cut by 5%, which were extended to end-2020 except those in high-energy-consuming industries.
• Railway logistic fee was lowered by 50% until end-June.
• The port construction fee has been exempted till end-2020, and some other port-related fees were cut. 
• Exempt rent payments by SMEs in the service sector on state-owned properties for three months. Landlords who offer rent reduction or exemption will receive tax cuts and loans with preferential interest rates.</t>
  </si>
  <si>
    <t xml:space="preserve">Note: Estimates as of end-December, 2020. Numbers in U.S. dollar and percent of GDP are based on January 2021 World Economic Outlook Update unless otherwise stated. For Argentina, U.S. dollar values use end-December 2020 exchange rate. </t>
  </si>
  <si>
    <r>
      <t xml:space="preserve">Additional spending (BGN 1.43 bn in 2020 and 1.63 bn in 2021): 
</t>
    </r>
    <r>
      <rPr>
        <sz val="10"/>
        <rFont val="Arial"/>
        <family val="2"/>
      </rPr>
      <t xml:space="preserve">• Support to households: (i) Payment of additional amounts to the pensions in the amount of BGN 50 per month from August 2020 to March 2021 (530 mn in 2020 and 318 mn in 2021) and increase in minimum pension starting January 2021 (BGN 474 mn in 2021); (ii) Support for children and families (BGN 65 mn in 2020 and BGN 114.7 mn in 2021); (iii) increase in the cost of short-term benefits and allowances linked to the expected increase in unemployed (BGN 297.5 mn in 2021); (iv) One-time financial support for food products to pensioners receiving a low pension (BGN 47 mn in 2021); (v) Assistance for the use of tourist services for domestic tourism (BGN 10 mn in 2021)
• Support to firms: (i) Support to Bulgarian artists and artists directly affected by the cessation of mass events in the country (BGN 2.5 mn in both 2020 and 2021); (ii) Subsidy for tour operators who use air carriers with a valid operating license to operate charter flights to the Republic of Bulgaria for tourism in the amount of 35 euros for each seat of the maximum passenger capacity of the aircraft for each flight (BGN7.2 mn in 2020 and BGN 40 mn in 2021); (iii) Support to farmers affected by the pandemic (BGN 84.6 mn in 2020)
• Support to employment: (i) Job retention scheme ("60/40 scheme) under which the state covers 60 percent (80 percent in the tourism sector) of the wages and employer's insurance payments of employees of private companies affected by the pandemic (BGN 719 mn in 2020 and BGN 300 mn in 2021); (ii) Employment programs and training measures to support the unemployed and employers (BGN 0.004 mn in 2020 and 0.010 in 2021)
• Other spending: (i) Providing opportunities for distance learning in the education system (17 mn in 2020 and 11.9 mn in 2021); (ii) Support for remote form of work in case of declared emergency epidemic situation (0.2 mn in 2020 and 2021) 
</t>
    </r>
    <r>
      <rPr>
        <b/>
        <sz val="10"/>
        <rFont val="Arial"/>
        <family val="2"/>
      </rPr>
      <t xml:space="preserve">Forgone revenue (BGN 0.11 bn in 2020 and 0.38 bn in 2021):  
</t>
    </r>
    <r>
      <rPr>
        <sz val="10"/>
        <rFont val="Arial"/>
        <family val="2"/>
      </rPr>
      <t>• Reduction of the VAT rate to 9% for the period July 2020 - December 2021, for supplies of certain goods and services (BGN 108.3 mn in 2020 and BGN 234.4 in 2021)
• Tax relief for children and for children with disabilities starting in 2021 (BGN 143.4 mn in 2021)</t>
    </r>
  </si>
  <si>
    <r>
      <rPr>
        <b/>
        <sz val="10"/>
        <color theme="1"/>
        <rFont val="Arial"/>
        <family val="2"/>
      </rPr>
      <t xml:space="preserve">Additional spending (331bn): </t>
    </r>
    <r>
      <rPr>
        <sz val="10"/>
        <color theme="1"/>
        <rFont val="Arial"/>
        <family val="2"/>
      </rPr>
      <t xml:space="preserve">Cash aid to low-income households and social protection measures for vulnerable workers. Subsidies to rice farmers and wages for small businesses. Retraining of displaced workers.
</t>
    </r>
    <r>
      <rPr>
        <b/>
        <sz val="10"/>
        <color theme="1"/>
        <rFont val="Arial"/>
        <family val="2"/>
      </rPr>
      <t xml:space="preserve">
Forgone revenue (42bn)</t>
    </r>
    <r>
      <rPr>
        <sz val="10"/>
        <color theme="1"/>
        <rFont val="Arial"/>
        <family val="2"/>
      </rPr>
      <t xml:space="preserve">: Planned corporate income tax rate reduction from 30 to 20 percent starting in July 2020 (approved by Congress). </t>
    </r>
  </si>
  <si>
    <t>• A loan guarantee scheme for firms with a turnover of between NZ$ 250 thousand and NZ$ 80 mn per annum, with the Government carrying 80% of the credit risk. The loans will be limited to NZ$ 5 mn for a maximum of five years and expected to be provided by the banks at competitive, transparent rates.</t>
  </si>
  <si>
    <t xml:space="preserve">• Capital increase in the state-owned bank (BGN 700 Mn)
• Financial supports through other state-owned entities and other EU-affiliated institutions, including 1) BGN 344 Mn secured through the Fund of Funds, 2) BGN 160 Mn through JEREMIE (EIF), 3) BGN 418 Mn though the Urban Development Funds. </t>
  </si>
  <si>
    <t>• Credit recovery program by KAMCO (KRW 2.0 tn).
• Loan expansion to SMEs provided by state-backed financial institutions (KRW 21.2 tn).
• Support package to stabilize corporate bond and short-term funding market, except P-CBO (KRW 11.1 tn).
• Low-rated corporate bond and CP purchase program (KRW 20.0 tn).
• Key Industry Stabilization Fund (KRW 40.0 tn).
• Stock Market Stabilization Fund (KRW 10.7 tn).
• Bond Market Stabilization Fund (KRW 20.0 tn).</t>
  </si>
  <si>
    <r>
      <rPr>
        <sz val="10"/>
        <color theme="1"/>
        <rFont val="Symbol"/>
        <family val="1"/>
        <charset val="2"/>
      </rPr>
      <t>·</t>
    </r>
    <r>
      <rPr>
        <sz val="10"/>
        <color theme="1"/>
        <rFont val="Arial"/>
        <family val="2"/>
      </rPr>
      <t xml:space="preserve"> Extend and Improve Quarantine Centres/Facilities; 
· Importation of Key Medical Products; upgrade Existing Health Facilities based on different priority levels; 
· Ensure regular, stable electricity supply (including through provision/purchase of generators and fuel) for specialized medical (and associated) facilities handling COVID-19 affected patients in States and Regions where electrification levels are low.
· Ensure refrigeration for cold chain maintenance for vaccinations and special drugs</t>
    </r>
  </si>
  <si>
    <r>
      <rPr>
        <b/>
        <sz val="10"/>
        <color theme="1"/>
        <rFont val="Arial"/>
        <family val="2"/>
      </rPr>
      <t xml:space="preserve"> Deferred revenue:</t>
    </r>
    <r>
      <rPr>
        <sz val="10"/>
        <color theme="1"/>
        <rFont val="Arial"/>
        <family val="2"/>
      </rPr>
      <t xml:space="preserve">  Deferment of income and commercial tax payments due in the second third, and fourth quarters of FY 19/20 to January 31, 2021</t>
    </r>
  </si>
  <si>
    <r>
      <rPr>
        <b/>
        <sz val="10"/>
        <color theme="1"/>
        <rFont val="Arial"/>
        <family val="2"/>
      </rPr>
      <t>Additional spending:</t>
    </r>
    <r>
      <rPr>
        <b/>
        <sz val="10"/>
        <color theme="1"/>
        <rFont val="Symbol"/>
        <family val="1"/>
        <charset val="2"/>
      </rPr>
      <t xml:space="preserve"> 
</t>
    </r>
    <r>
      <rPr>
        <sz val="10"/>
        <color theme="1"/>
        <rFont val="Symbol"/>
        <family val="1"/>
        <charset val="2"/>
      </rPr>
      <t>·</t>
    </r>
    <r>
      <rPr>
        <sz val="10"/>
        <color theme="1"/>
        <rFont val="Arial"/>
        <family val="2"/>
      </rPr>
      <t xml:space="preserve"> Compensation for job losses and to businesses for loss of value added. 
</t>
    </r>
    <r>
      <rPr>
        <sz val="10"/>
        <color theme="1"/>
        <rFont val="Symbol"/>
        <family val="1"/>
        <charset val="2"/>
      </rPr>
      <t>·</t>
    </r>
    <r>
      <rPr>
        <sz val="10"/>
        <color theme="1"/>
        <rFont val="Arial"/>
        <family val="2"/>
      </rPr>
      <t xml:space="preserve"> Support to vulnerable households, food and cash transfers; 2 month-suspension of utility bills for vulnerable households. 
</t>
    </r>
    <r>
      <rPr>
        <sz val="10"/>
        <color theme="1"/>
        <rFont val="Symbol"/>
        <family val="1"/>
        <charset val="2"/>
      </rPr>
      <t>·</t>
    </r>
    <r>
      <rPr>
        <sz val="10"/>
        <color theme="1"/>
        <rFont val="Arial"/>
        <family val="2"/>
      </rPr>
      <t xml:space="preserve"> Increase social assistance packages; Support to informal enterprises, formal sector for the lost values, and formal job loss for the next 6 months. 
</t>
    </r>
    <r>
      <rPr>
        <sz val="10"/>
        <color theme="1"/>
        <rFont val="Symbol"/>
        <family val="1"/>
        <charset val="2"/>
      </rPr>
      <t>·</t>
    </r>
    <r>
      <rPr>
        <sz val="10"/>
        <color theme="1"/>
        <rFont val="Arial"/>
        <family val="2"/>
      </rPr>
      <t xml:space="preserve"> Support to local industries, agriculture and food production. 
</t>
    </r>
    <r>
      <rPr>
        <b/>
        <sz val="10"/>
        <color theme="1"/>
        <rFont val="Arial"/>
        <family val="2"/>
      </rPr>
      <t xml:space="preserve">Forgone revenues:
</t>
    </r>
    <r>
      <rPr>
        <b/>
        <sz val="10"/>
        <color theme="1"/>
        <rFont val="Symbol"/>
        <family val="1"/>
        <charset val="2"/>
      </rPr>
      <t>·</t>
    </r>
    <r>
      <rPr>
        <b/>
        <sz val="10"/>
        <color theme="1"/>
        <rFont val="Arial"/>
        <family val="2"/>
      </rPr>
      <t xml:space="preserve"> H</t>
    </r>
    <r>
      <rPr>
        <sz val="10"/>
        <color theme="1"/>
        <rFont val="Arial"/>
        <family val="2"/>
      </rPr>
      <t xml:space="preserve">igher depreciation cost allowed in tax declaration for businesses; provide new import credits; delay vehicle taxes; suspension of the uniform informal tax and transport VAT in urban centers.
</t>
    </r>
    <r>
      <rPr>
        <sz val="10"/>
        <color theme="1"/>
        <rFont val="Symbol"/>
        <family val="1"/>
        <charset val="2"/>
      </rPr>
      <t>·</t>
    </r>
    <r>
      <rPr>
        <sz val="10"/>
        <color theme="1"/>
        <rFont val="Arial"/>
        <family val="2"/>
      </rPr>
      <t xml:space="preserve"> Reduction of VAT on the hotel sector to 10 percent and the exemption of the minimum flat tax (IMF) from 2019 tax declarations. Suspension of tax collection from travel agents, restaurant and the sports sector.</t>
    </r>
  </si>
  <si>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 From the total, CFAF 100 billion will go for credit to large companies with a 20 percent state guarantee and CFAF 100 billion for small enterprises with a state guarantee of 50 percent.</t>
  </si>
  <si>
    <t>• Concessional loans and guarantees to affected firms through the public and private financial institutions. (JPY 112 tn)• Public financial institutions' provision of subordinated loans (quasi-equity) and equities (JPY 2.7 tn)
• Public financial institutions' loans to affected hospitals and clinics (JPY 3.5 tn)
• The university fund (JPY 4.0 tn) 
• Other quasi-fiscal operations using the Development Bank of Japan and other agencies (primarily for infrastructure projects) (JPY 15 tn)</t>
  </si>
  <si>
    <r>
      <t xml:space="preserve">Additional spending: </t>
    </r>
    <r>
      <rPr>
        <sz val="10"/>
        <color theme="1"/>
        <rFont val="Arial"/>
        <family val="2"/>
      </rPr>
      <t xml:space="preserve">
• Industrial companies have received relief in the form of lower energy and tax costs: Lower energy costs for factories (EGP 6 billion), subsidy pay-out for exporters (EGP 1 billion).
• Increase in support to pensioners and irregular workers: EGP 27.6 billion will be disbursed to 2.4 million families, totaling some 10 million citizens.
• A new consumer spending initiative has been announced by the government, as part of which, two-year low-interest installments will be made available to encourage spending. This 3-month program will also include discounts on selected consumer goods.
• A new government holding fund to guarantee mortgages and consumer loans made by banks and consumer finance companies for up to EGP 2 billion has also been announced.                                                                                                                                                                                                                                                                                                                    
</t>
    </r>
    <r>
      <rPr>
        <b/>
        <sz val="10"/>
        <color theme="1"/>
        <rFont val="Arial"/>
        <family val="2"/>
      </rPr>
      <t xml:space="preserve">                                                                                                                                                                                                                                              Forgone revenue: </t>
    </r>
    <r>
      <rPr>
        <sz val="10"/>
        <color theme="1"/>
        <rFont val="Arial"/>
        <family val="2"/>
      </rPr>
      <t xml:space="preserve">
• Temporary real estate tax relief has been provided for industrial and tourism sectors; the moratorium on the tax law on agricultural land has been extended for 2 years+K114.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</si>
  <si>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t>(USD billion and percent of 2020 GDP)</t>
  </si>
  <si>
    <t>• Guarantees for Covid-19 bridge loans for firms with annual turnover up to CHF 500 mn (CHF 40 bn)
• Guarantees for startups (CHF 0.1 bn)
• Guarantees for airlines (CHF 1.275 bn)
• Guarantees for flight-related business (CHF 0.6 bn)
• Guarantees for SNB loan to IMF (CHF 0.8 bn)</t>
  </si>
  <si>
    <t>• Within the frame of the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 This measure was extended to restaurants and sports facilities.</t>
  </si>
  <si>
    <t xml:space="preserve">Credit guarantee scheme for the SME sector. </t>
  </si>
  <si>
    <r>
      <rPr>
        <b/>
        <sz val="10"/>
        <color theme="1"/>
        <rFont val="Arial"/>
        <family val="2"/>
      </rPr>
      <t>Additional spending:</t>
    </r>
    <r>
      <rPr>
        <sz val="10"/>
        <color theme="1"/>
        <rFont val="Arial"/>
        <family val="2"/>
      </rPr>
      <t xml:space="preserve"> Additional spending on medical equipment and materials. Treatment costs of Covid-19 positive patients are covered by either Health Insurance Fund (under Vietnam Social Security) or by the state budget.
</t>
    </r>
    <r>
      <rPr>
        <b/>
        <sz val="10"/>
        <color theme="1"/>
        <rFont val="Arial"/>
        <family val="2"/>
      </rPr>
      <t>Forgone revenue:</t>
    </r>
    <r>
      <rPr>
        <sz val="10"/>
        <color theme="1"/>
        <rFont val="Arial"/>
        <family val="2"/>
      </rPr>
      <t xml:space="preserve"> Exemption of import tariff for medical material. Suspension of VAT for domestically produced medical material. </t>
    </r>
  </si>
  <si>
    <r>
      <t>Deferred revenue:</t>
    </r>
    <r>
      <rPr>
        <sz val="10"/>
        <rFont val="Arial"/>
        <family val="2"/>
      </rPr>
      <t xml:space="preserve"> Payments of VAT, CIT and of land rental fees are deferred by 5 months, and payment of PIT tax obligations is deferred to year-end (total value of VND 180 tn). </t>
    </r>
  </si>
  <si>
    <r>
      <rPr>
        <b/>
        <sz val="10"/>
        <color theme="1"/>
        <rFont val="Arial"/>
        <family val="2"/>
      </rPr>
      <t>Deferred revenue</t>
    </r>
    <r>
      <rPr>
        <sz val="10"/>
        <color theme="1"/>
        <rFont val="Arial"/>
        <family val="2"/>
      </rPr>
      <t xml:space="preserve">: Deferral of corporate tax payments till June 30 2020. </t>
    </r>
  </si>
  <si>
    <r>
      <rPr>
        <b/>
        <sz val="10"/>
        <color theme="1"/>
        <rFont val="Arial"/>
        <family val="2"/>
      </rPr>
      <t>Additional spending</t>
    </r>
    <r>
      <rPr>
        <sz val="10"/>
        <color theme="1"/>
        <rFont val="Arial"/>
        <family val="2"/>
      </rPr>
      <t xml:space="preserve">: Increasing healthcare capacity, diagnostic and medical equipment, increasing payments to health workers, procurement of personal protective equipment.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</si>
  <si>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 (56 bn)</t>
    </r>
    <r>
      <rPr>
        <sz val="10"/>
        <color theme="1"/>
        <rFont val="Arial"/>
        <family val="2"/>
      </rPr>
      <t xml:space="preserve">: Social protection and cash transfers; food relief; and funds for expediting payments of existing obligations to maintain cash flow for businesses during the crisis, rehabilitate road and school infrastructure; hiring of teachers; supply of farm inputs; improve market access for farmers; renovation of tourist facilities.
</t>
    </r>
    <r>
      <rPr>
        <b/>
        <sz val="10"/>
        <color theme="1"/>
        <rFont val="Arial"/>
        <family val="2"/>
      </rPr>
      <t xml:space="preserve">
Forgone revenue (186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 Some of the tax measures, including the reduction of top PAYE rate, corporate income tax rate and VAT were reversed effective January 1, 2021.</t>
    </r>
  </si>
  <si>
    <t>Table 1. Summary of Country Fiscal Measures in Response to the COVID-19 Pandemic since January 2020</t>
  </si>
  <si>
    <t xml:space="preserve">2/ Norway fiscal support measures are expressed in percent of continental GDP. </t>
  </si>
  <si>
    <t>% GDP 2/</t>
  </si>
  <si>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Nearly 10 million people are estimated to benefit from this support package.
</t>
    </r>
    <r>
      <rPr>
        <b/>
        <sz val="10"/>
        <color theme="1"/>
        <rFont val="Arial"/>
        <family val="2"/>
      </rPr>
      <t>Forgone revenue:</t>
    </r>
    <r>
      <rPr>
        <sz val="10"/>
        <color theme="1"/>
        <rFont val="Arial"/>
        <family val="2"/>
      </rPr>
      <t xml:space="preserve"> Raise the deductibles of personal income tax starting in July, including individual thresholds and dependent deduction. Fees reduction for supporting firms and workers, effectively from May and extended to June 2021,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</si>
  <si>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t>Norway% GDP</t>
  </si>
  <si>
    <r>
      <rPr>
        <b/>
        <sz val="10"/>
        <color theme="1"/>
        <rFont val="Arial"/>
        <family val="2"/>
      </rPr>
      <t>Additional spending:</t>
    </r>
    <r>
      <rPr>
        <sz val="10"/>
        <color theme="1"/>
        <rFont val="Arial"/>
        <family val="2"/>
      </rPr>
      <t xml:space="preserve">
The authorities have increased public health spending to ensure sufficient supply of medical equipment and materials.</t>
    </r>
  </si>
  <si>
    <r>
      <rPr>
        <b/>
        <sz val="10"/>
        <rFont val="Arial"/>
        <family val="2"/>
      </rPr>
      <t>Additional spending:</t>
    </r>
    <r>
      <rPr>
        <sz val="10"/>
        <rFont val="Arial"/>
        <family val="2"/>
      </rPr>
      <t xml:space="preserve">
• Loans with optional repayment to be granted by the Ministry of Economy to SMEs that maintain employees on payroll, self-employed, and domestic workers. Eligibility is assessed using IMSS database.
• Loans with optional repayment to be granted by the Ministry of Economy to family businesses, previously registered in the Welfare Census.
• Unemployment subsidy for 3 months to workers that hold a mortgage with the Housing Institute.
• Housing program.</t>
    </r>
  </si>
  <si>
    <t>• Institute for Social Security and Services (ISSSTE) loans to state workers with low interest rates.
• Personal loans granted by the Institute of the National Fund for the Consumption of Workers (Fonacot).
• Special Program to Reactivate the Economy against COVID by Housing Fund of the Institute for Social Security and Services(Fovissste).</t>
  </si>
  <si>
    <t>• Development banks to provide loans, particularly to small- and medium-scale enterprises.</t>
  </si>
  <si>
    <r>
      <rPr>
        <b/>
        <sz val="10"/>
        <rFont val="Arial"/>
        <family val="2"/>
      </rPr>
      <t>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</si>
  <si>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Treasury-backed credit guarantee system.  
• Credit guarantee fund doubled in size from TL25 to 50 billion as part of the fiscal package.</t>
  </si>
  <si>
    <r>
      <rPr>
        <b/>
        <sz val="10"/>
        <color theme="1"/>
        <rFont val="Arial"/>
        <family val="2"/>
      </rPr>
      <t>Additional spending</t>
    </r>
    <r>
      <rPr>
        <sz val="10"/>
        <color theme="1"/>
        <rFont val="Arial"/>
        <family val="2"/>
      </rPr>
      <t xml:space="preserve">:
• RUB 224 billion – new infection hospitals, additional beds and re-equipment of existing beds, special ambulances and equipment, medicine
• RUB 346 billion – bonus fund for medical staff, R&amp;D in diagnostics and prevention
• RUB 32 billion – other
• RUB 141 billion expected in 2021.
• Medical staff directly engaged in coronavirus efforts will receive additional federal compensation
</t>
    </r>
    <r>
      <rPr>
        <b/>
        <sz val="10"/>
        <color theme="1"/>
        <rFont val="Arial"/>
        <family val="2"/>
      </rPr>
      <t xml:space="preserve">
Forgone revenue</t>
    </r>
    <r>
      <rPr>
        <sz val="10"/>
        <color theme="1"/>
        <rFont val="Arial"/>
        <family val="2"/>
      </rPr>
      <t>:
• RUB 32 bn - zero import duties for pharmaceuticals, medical supplies and equipment.</t>
    </r>
  </si>
  <si>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
• On June 1, public deposit banks (Ziraat Bank, Halkbank and Vakifbank) launched new retail loan campaigns for house purchases and consumer spending.                      • Farmers’ loans that will become due in May and June have been postponed by six months.</t>
  </si>
  <si>
    <r>
      <rPr>
        <b/>
        <sz val="10"/>
        <rFont val="Arial"/>
        <family val="2"/>
      </rPr>
      <t xml:space="preserve">Accelerated spending (€17.5 bn): </t>
    </r>
    <r>
      <rPr>
        <sz val="10"/>
        <rFont val="Arial"/>
        <family val="2"/>
      </rPr>
      <t>Accelerated refund of tax credits (e.g. CIT and VAT).</t>
    </r>
    <r>
      <rPr>
        <b/>
        <sz val="10"/>
        <rFont val="Arial"/>
        <family val="2"/>
      </rPr>
      <t xml:space="preserve">
Deferred revenue (€52 bn): </t>
    </r>
    <r>
      <rPr>
        <sz val="10"/>
        <rFont val="Arial"/>
        <family val="2"/>
      </rPr>
      <t>Postponement of social security contributions and tax payment for companies.</t>
    </r>
  </si>
  <si>
    <t xml:space="preserve">• State guarantees for bank loans to companies and credit reinsurance schemes (€315 bn); other guarantees (€12.5 bn).
• The recovery plan also includes the creation of a up to €20 bn fund leveraged by public guarantees (€7 bn), to provide quasi-equity support or equity loans to firms. </t>
  </si>
  <si>
    <r>
      <rPr>
        <b/>
        <sz val="10"/>
        <color theme="1"/>
        <rFont val="Arial"/>
        <family val="2"/>
      </rPr>
      <t xml:space="preserve">Additional spending (€19.5 bn): </t>
    </r>
    <r>
      <rPr>
        <sz val="10"/>
        <color theme="1"/>
        <rFont val="Arial"/>
        <family val="2"/>
      </rPr>
      <t xml:space="preserve">including on medical equipment,  staff, and vaccine. 
</t>
    </r>
    <r>
      <rPr>
        <b/>
        <sz val="10"/>
        <color theme="1"/>
        <rFont val="Arial"/>
        <family val="2"/>
      </rPr>
      <t xml:space="preserve">Forgone revenue (€0.5 bn): </t>
    </r>
    <r>
      <rPr>
        <sz val="10"/>
        <color theme="1"/>
        <rFont val="Arial"/>
        <family val="2"/>
      </rPr>
      <t>zero VAT rate on targeted medical equipment.</t>
    </r>
  </si>
  <si>
    <r>
      <rPr>
        <b/>
        <sz val="10"/>
        <color theme="1"/>
        <rFont val="Arial"/>
        <family val="2"/>
      </rPr>
      <t>Deferred revenue</t>
    </r>
    <r>
      <rPr>
        <sz val="10"/>
        <color theme="1"/>
        <rFont val="Arial"/>
        <family val="2"/>
      </rPr>
      <t>: Deferral of social security contribution and debts for companies and the self-employed; Deferral of tax debts and debts arising from customs declaration; tax payment deferrals for small and medium enterprises and self-employed, with the first three/four months exempt from interest.</t>
    </r>
  </si>
  <si>
    <t>• Up to €100 bn government guarantees for firms and self-employed, covering both loans and commercial paper of medium-sized companies that participate in Spain’s Alternative Fixed Income Market (MARF)
• A new Instituto de Crédito Oficial (ICO) line of guarantees to promote investment activities particularly in the areas of environmental sustainability and digitization (€40 billion);
• Guarantees for financing operations carried out by the European investment Bank (€2.8 billion) and  endorsement to the European SURE instrument (€2.3 billion)
• Additional guarantees of up to €2 bn for exporters through the Spanish Export Insurance Credit Company 
• Guarantees to provide financial assistance on housing expenses for vulnerable households (€1.2 billion); up to €2 billion public guarantees for exporters through the Spanish Export Insurance Credit Company; expansion of the ICO credit lines for the tourism sector (€200 million)
• Additional loan guarantees for SMEs and self-employed through the Compañía Española de Reafianzamiento (€1.1 bn) and line of guarantees for listed companies (€1 billion)</t>
  </si>
  <si>
    <t>• NZ$ 900 mn loan is granted to Air New Zealand, an airline company, of which the government owns 52 percent of shares.
• Maximum NZ$100 thousand loan is granted to small businesses that employ 50 or fewer full time equivalent employees (NZ$ 1.7 bn).
• NZ$150 million short-term R&amp;D scheme to support private sector R&amp;D investment.</t>
  </si>
  <si>
    <r>
      <rPr>
        <b/>
        <sz val="10"/>
        <color theme="1"/>
        <rFont val="Arial"/>
        <family val="2"/>
      </rPr>
      <t xml:space="preserve">Additional spending: </t>
    </r>
    <r>
      <rPr>
        <sz val="10"/>
        <color theme="1"/>
        <rFont val="Arial"/>
        <family val="2"/>
      </rPr>
      <t xml:space="preserve">
• Support to households, including a cash payout to all Singaporeans (higher for families with children under 20), and additional payments for lower-income individuals and the unemployed. 
• Support to businesses and workers, including wage subsidies; support to cover rental costs, an enhancement of financing schemes, and additional support for the self-employed and industries most directly affected..
• Other measures: e.g. support to R&amp;D investment, a national stockpile of health supplies, and a program on food resilience.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faster write-downs for qualifying investments; foreign worker levy waivers. </t>
    </r>
  </si>
  <si>
    <t xml:space="preserve">The total guarantee is estimated at about 579 bn euros, aimed to unlock more than 750 billion euros of liquidity for businesses and households. (Note that the amount reported here is the originally announced ceiling, and the current level of contracted guarantees is about one-fourth of the announced).
</t>
  </si>
  <si>
    <r>
      <rPr>
        <b/>
        <sz val="10"/>
        <rFont val="Arial"/>
        <family val="2"/>
      </rPr>
      <t xml:space="preserve">Additional spending (€150 bn): </t>
    </r>
    <r>
      <rPr>
        <sz val="10"/>
        <rFont val="Arial"/>
        <family val="2"/>
      </rPr>
      <t xml:space="preserve">including broadening the wage supplementation fund to provide income support to laid-off workers and the self-employed, vouchers for the payment of babysitters (€80 bn), grants for SME  (€60 bn), education (€4 bn), and other (€10 bn).
</t>
    </r>
    <r>
      <rPr>
        <b/>
        <sz val="10"/>
        <rFont val="Arial"/>
        <family val="2"/>
      </rPr>
      <t>Forgone revenue (€10 bn)</t>
    </r>
    <r>
      <rPr>
        <sz val="10"/>
        <rFont val="Arial"/>
        <family val="2"/>
      </rPr>
      <t>: corporate income tax credits (€4 bn) and social security contribution reduction (€6 bn).</t>
    </r>
  </si>
  <si>
    <r>
      <rPr>
        <b/>
        <sz val="10"/>
        <rFont val="Arial"/>
        <family val="2"/>
      </rPr>
      <t>Additional spending:</t>
    </r>
    <r>
      <rPr>
        <sz val="10"/>
        <rFont val="Arial"/>
        <family val="2"/>
      </rPr>
      <t xml:space="preserve"> 
• Increased testing and tracing for Covid-19 (SEK 7 bn); funding of extraordinary costs associated with Covid-19 for municipalities and regions (SEK 5 bn) and elderly care boost (SEK 2.2 bn).
• Extra funding to train up to 10,000 people in health and social care during 2020Q4. Folk high schools' adult vocational training was also to be expanded with 1000 seats during 2020, focusing on health and social care.
• The National Board of Health and Welfare’s credit framework has increased to enable purchases of personal protective equipment and intensive care equipment.
• Removal of income ceiling for student aid to enable health and medical care students to help out in the health care sector without their student aid being reduced.
</t>
    </r>
  </si>
  <si>
    <r>
      <t xml:space="preserve">Additional spending (AUD 20.0 bn):
</t>
    </r>
    <r>
      <rPr>
        <sz val="10"/>
        <rFont val="Arial"/>
        <family val="2"/>
      </rPr>
      <t>•Australia is co-funding the WHO’s Pacific regional coronavirus response plan (together with New Zealand).                                                                                           •The Commonwealth government increased the budget to secure access to COVID-19 vaccines and roll out a national Vaccination Program.
•The health spending package provides support across primary care, aged care, hospitals and research, to diagnose and treat people with the Coronavirus.
•In relation to aged care, temporary measures will be introduced to support the aged care sector, which helps ensure the continuity of residential and home care. 
•The Commonwealth government will pay for half of all additional costs incurred by states and territories in diagnosing and treating patients with, or suspected of having, COVID-19, and efforts to minimize the spread of the virus.
• The 2020-21 Mid-Year Economic and FIscal Outlook (MYEFO), released on December 17, includes cost of vaccine procurement and rollout.</t>
    </r>
  </si>
  <si>
    <t>• The Coronavirus SME Guarantee Scheme provides a loan guarantee arrangement between the government and participating banks to cover the immediate cash flow needs of SMEs. In mid-July 2020, this scheme was extended through June 2021, with the maximum loan size raised from A$250,000 to A$1 million and the maximum maturity extended to five years.                                                                                                                                                                                                          • In March 2021, the government renamed it the SME Recovery Loan Scheme, under which the government guarantees 80 percent (previously: 50 percent) of new SME loan amounts (starting April 2021), with the maximum loan size raised to A$5 million and the maximum maturity extended to ten years. The scheme also offers up to 24 months of repayment holidays.</t>
  </si>
  <si>
    <r>
      <rPr>
        <b/>
        <sz val="10"/>
        <rFont val="Arial"/>
        <family val="2"/>
      </rPr>
      <t>Deferred revenue (JPY 3 tn):</t>
    </r>
    <r>
      <rPr>
        <sz val="10"/>
        <rFont val="Arial"/>
        <family val="2"/>
      </rPr>
      <t xml:space="preserve"> Deferral of payment of taxes and social security premiums by affected firms and households for one year.</t>
    </r>
  </si>
  <si>
    <r>
      <rPr>
        <b/>
        <sz val="10"/>
        <rFont val="Arial"/>
        <family val="2"/>
      </rPr>
      <t xml:space="preserve">Government loans (1.3bn): 
</t>
    </r>
    <r>
      <rPr>
        <sz val="10"/>
        <rFont val="Arial"/>
        <family val="2"/>
      </rPr>
      <t xml:space="preserve">• Federal loan to Brussels Airlines; and various (subordinated) loans provided by regional governments for companies and self-employed affected by Covid-19 (facing liquidity problems, etc.); some of which channeled through regional investment vehicles.
</t>
    </r>
    <r>
      <rPr>
        <b/>
        <sz val="10"/>
        <rFont val="Arial"/>
        <family val="2"/>
      </rPr>
      <t xml:space="preserve">
Equity injections (0.3bn)</t>
    </r>
    <r>
      <rPr>
        <sz val="10"/>
        <rFont val="Arial"/>
        <family val="2"/>
      </rPr>
      <t>:  
• Capital increase in Flemish and Brussels regional investment companies that will use the funds to provide capital support to firms in need.</t>
    </r>
  </si>
  <si>
    <r>
      <rPr>
        <b/>
        <sz val="10"/>
        <color theme="1"/>
        <rFont val="Arial"/>
        <family val="2"/>
      </rPr>
      <t>Additional spending:</t>
    </r>
    <r>
      <rPr>
        <sz val="10"/>
        <color theme="1"/>
        <rFont val="Arial"/>
        <family val="2"/>
      </rPr>
      <t xml:space="preserve"> including on purchase, distribution and sale of medical devices; vaccine research contribution; healthcare costs in the Caribbean Netherlands; training for healthcare personnel and bonusses; research. The reported 16.6 billion covers 2020-2022.</t>
    </r>
  </si>
  <si>
    <r>
      <rPr>
        <b/>
        <sz val="10"/>
        <rFont val="Arial"/>
        <family val="2"/>
      </rPr>
      <t>Spending Measures:</t>
    </r>
    <r>
      <rPr>
        <sz val="10"/>
        <rFont val="Arial"/>
        <family val="2"/>
      </rPr>
      <t xml:space="preserve">                                                                                                                                                                                                                             • Increased spending for medical supplies and equipment. 
                                                                                                                                                                                                                                                                                                                                                                                                                                                                                                                                                                                                                              </t>
    </r>
    <r>
      <rPr>
        <b/>
        <sz val="10"/>
        <rFont val="Arial"/>
        <family val="2"/>
      </rPr>
      <t>Foregone Revenues:</t>
    </r>
    <r>
      <rPr>
        <sz val="10"/>
        <rFont val="Arial"/>
        <family val="2"/>
      </rPr>
      <t xml:space="preserve">
• Abolished the import duty on medical supplies</t>
    </r>
  </si>
  <si>
    <r>
      <rPr>
        <b/>
        <sz val="10"/>
        <rFont val="Arial"/>
        <family val="2"/>
      </rPr>
      <t>Spending Measures:</t>
    </r>
    <r>
      <rPr>
        <sz val="10"/>
        <rFont val="Arial"/>
        <family val="2"/>
      </rPr>
      <t xml:space="preserve"> Accelerated refund of VAT tax credits.
                                                                                                                                                                                                                                                                                                 </t>
    </r>
    <r>
      <rPr>
        <b/>
        <sz val="10"/>
        <rFont val="Arial"/>
        <family val="2"/>
      </rPr>
      <t>Deferred Revenue:</t>
    </r>
    <r>
      <rPr>
        <sz val="10"/>
        <rFont val="Arial"/>
        <family val="2"/>
      </rPr>
      <t xml:space="preserve"> Deferral of CIT/PIT payment or filing obligations for specific sectors of the economy</t>
    </r>
  </si>
  <si>
    <t xml:space="preserve">Measures announced in 2020:                                                                                                                                                                                                                                                             • A state guarantee scheme for bank loans to SMEs has been approved (exposure of RSD 56.5bn)   
                                                                                                                                                                                                                                                  Measures announced in 2021: 
• The existing scheme for state guaranteed bank loans to SMEs will be expanded by EUR 500 million (1 percent of GDP) and a new EUR 500 million scheme for vulnerable companies was announced.
</t>
  </si>
  <si>
    <r>
      <t xml:space="preserve">Additional spending: </t>
    </r>
    <r>
      <rPr>
        <sz val="10"/>
        <rFont val="Arial"/>
        <family val="2"/>
      </rPr>
      <t>Emergency measures to upgrade the main national hospital, pharmaceuticals, food provision and medical equipment to the country’s hospitals. Also includes vaccine costs.</t>
    </r>
  </si>
  <si>
    <r>
      <rPr>
        <b/>
        <sz val="10"/>
        <rFont val="Arial"/>
        <family val="2"/>
      </rPr>
      <t>Additional spending:</t>
    </r>
    <r>
      <rPr>
        <sz val="10"/>
        <rFont val="Arial"/>
        <family val="2"/>
      </rPr>
      <t xml:space="preserve"> Transfers to vulnerable families (0.1 percent of GDP), citizen security to enforce COVID-19 measures (0.2 and 0.1 percent of GDP in 2020 and 2021, respectively) and investments to strengthen the agricultural sector (0.4 percent of GDP in 2021). </t>
    </r>
  </si>
  <si>
    <t>Public development bank Banhprovi will deploy L5,625 mn (0.9 percent of GDP), funded with loans from the regional development bank CABEI, to finance loans to SME and other sectors affected by the pandemic. A dedicated L4,000 mn (0.7 percent of GDP) rediscount facility funded with accumulated profits at Banhprovi was also created for loans restructured as a result of the pandemic.</t>
  </si>
  <si>
    <r>
      <rPr>
        <b/>
        <sz val="10"/>
        <rFont val="Arial"/>
        <family val="2"/>
      </rPr>
      <t>Additional spending</t>
    </r>
    <r>
      <rPr>
        <sz val="10"/>
        <rFont val="Arial"/>
        <family val="2"/>
      </rPr>
      <t>: Recruitment of additional health workers, expansion of hospital bed capacity, enhanced surveillance, laboratory services, isolation units, equipment, supplies, and communication and vaccines.</t>
    </r>
  </si>
  <si>
    <r>
      <rPr>
        <b/>
        <sz val="10"/>
        <rFont val="Arial"/>
        <family val="2"/>
      </rPr>
      <t xml:space="preserve">Additional spending: </t>
    </r>
    <r>
      <rPr>
        <sz val="10"/>
        <rFont val="Arial"/>
        <family val="2"/>
      </rPr>
      <t xml:space="preserve">Cash transfers, food, cash-for-work, pension support, health benefit extension. Support for productivity enhancement in businesses, and targeted support to rural and agriculture sectors
</t>
    </r>
    <r>
      <rPr>
        <b/>
        <sz val="10"/>
        <rFont val="Arial"/>
        <family val="2"/>
      </rPr>
      <t>Forgone revenue:</t>
    </r>
    <r>
      <rPr>
        <sz val="10"/>
        <rFont val="Arial"/>
        <family val="2"/>
      </rPr>
      <t xml:space="preserve"> Waive the 2% Withholding Tax on exports.
Further tax relief on additional salary and wage expenses and additional expenditures for capital equipment during Income Year 2019-2020 was granted by an order of the President Office on June 12.                                                       Exempt electricity tariffs for all households (excluding embassies and international organizations) up to 150 units per month for April to December.</t>
    </r>
  </si>
  <si>
    <t>Establish funds to on lend to support SME, MFI, small farmers, trade financing.                                                                                                                        Additional 100 billion kyat from re-appropriation of ministries’ budget was allocated to COVID-19 Fund for providing soft loans to COVID-19 affected businesses.</t>
  </si>
  <si>
    <t>Government plans to extend government guarantees to firms, existing or new, in selected high growth sectors affected. No amount is announced.</t>
  </si>
  <si>
    <r>
      <rPr>
        <b/>
        <sz val="10"/>
        <rFont val="Arial"/>
        <family val="2"/>
      </rPr>
      <t xml:space="preserve">Additional spending:                                                                                                                                                                                                                           </t>
    </r>
    <r>
      <rPr>
        <sz val="10"/>
        <rFont val="Symbol"/>
        <family val="1"/>
        <charset val="2"/>
      </rPr>
      <t>·</t>
    </r>
    <r>
      <rPr>
        <sz val="10"/>
        <rFont val="Arial"/>
        <family val="2"/>
      </rPr>
      <t xml:space="preserve"> Reinforced protection for medical staff; increased capacity to quarantine; recruitment of 1,500 health workers; set up isolation sites; 
</t>
    </r>
    <r>
      <rPr>
        <sz val="10"/>
        <rFont val="Symbol"/>
        <family val="1"/>
        <charset val="2"/>
      </rPr>
      <t>·</t>
    </r>
    <r>
      <rPr>
        <sz val="10"/>
        <rFont val="Arial"/>
        <family val="2"/>
      </rPr>
      <t xml:space="preserve"> Exemption of VAT and duties on medical goods.</t>
    </r>
    <r>
      <rPr>
        <sz val="10"/>
        <rFont val="Arial"/>
        <family val="2"/>
        <charset val="2"/>
      </rPr>
      <t xml:space="preserve"> 
</t>
    </r>
    <r>
      <rPr>
        <b/>
        <sz val="10"/>
        <rFont val="Arial"/>
        <family val="2"/>
      </rPr>
      <t>Forgone revenues:</t>
    </r>
    <r>
      <rPr>
        <sz val="10"/>
        <rFont val="Arial"/>
        <family val="2"/>
        <charset val="2"/>
      </rPr>
      <t xml:space="preserve">                                                                                                                                                                                                                          Higher depreciation cost allowed in tax declaration for businesses
New import credits
Delaying vehicle taxes
Suspension of fiscal controls
Suspension of the uniform informal tax and transport VAT in urban centers
Reduction of VAT on the hotel sector to 10 percent and the exemption of the minimum flat tax (IMF) from 2019 tax declarations
Suspension of tax controls</t>
    </r>
  </si>
  <si>
    <r>
      <rPr>
        <b/>
        <sz val="10"/>
        <rFont val="Arial"/>
        <family val="2"/>
      </rPr>
      <t>Additional spending:</t>
    </r>
    <r>
      <rPr>
        <sz val="10"/>
        <rFont val="Arial"/>
        <family val="2"/>
      </rPr>
      <t xml:space="preserve">                                                                                                                                                                                                                                     The government has announced an 8 billion kwacha Covid-19 Mitigation Bond to finance related spending, which includes 1 billion in health-related spending: purchases of equipment and clearance of arrears to local drug suppliers.
                                                                                                                                                                                                                                               </t>
    </r>
    <r>
      <rPr>
        <b/>
        <sz val="10"/>
        <rFont val="Arial"/>
        <family val="2"/>
      </rPr>
      <t xml:space="preserve">Forgone revenues:                                                                                                                                                                                                                                   </t>
    </r>
    <r>
      <rPr>
        <sz val="10"/>
        <rFont val="Arial"/>
        <family val="2"/>
      </rPr>
      <t>The government has suspended import duties and VAT on some medical supplies and devices, including testing equipment, protective garments, thermometers, disinfectants, sterilization products, ventilators and patient monitoring devices.
The government has also suspended excise duty on ethanol for use in alcohol-based sanitizers and other medical commodities.</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</si>
  <si>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3.1 billion to clear arrears to suppliers of goods and services, on VAT refunds, on pensions, as well as third-party arrears to micro-finance institutions.
</t>
    </r>
    <r>
      <rPr>
        <sz val="10"/>
        <rFont val="Symbol"/>
        <family val="1"/>
        <charset val="2"/>
      </rPr>
      <t>·</t>
    </r>
    <r>
      <rPr>
        <sz val="10"/>
        <rFont val="Arial"/>
        <family val="2"/>
      </rPr>
      <t xml:space="preserve"> 0.5 billion for youth empowerment programs;
</t>
    </r>
    <r>
      <rPr>
        <b/>
        <sz val="10"/>
        <rFont val="Symbol"/>
        <family val="1"/>
        <charset val="2"/>
      </rPr>
      <t>·</t>
    </r>
    <r>
      <rPr>
        <sz val="10"/>
        <rFont val="Arial"/>
        <family val="2"/>
      </rPr>
      <t xml:space="preserve"> 1.7 billion for grain purchases; 
</t>
    </r>
    <r>
      <rPr>
        <sz val="10"/>
        <rFont val="Symbol"/>
        <family val="1"/>
        <charset val="2"/>
      </rPr>
      <t>·</t>
    </r>
    <r>
      <rPr>
        <sz val="10"/>
        <rFont val="Arial"/>
        <family val="2"/>
      </rPr>
      <t xml:space="preserve"> 0.8 billion for other purposes; 
</t>
    </r>
    <r>
      <rPr>
        <b/>
        <sz val="10"/>
        <rFont val="Arial"/>
        <family val="2"/>
      </rPr>
      <t xml:space="preserve">· </t>
    </r>
    <r>
      <rPr>
        <sz val="10"/>
        <rFont val="Arial"/>
        <family val="2"/>
      </rPr>
      <t>The 2021 Budget envisions tax breaks for tourism: a permanently lower CIT rate and suspended import duties and fees;</t>
    </r>
    <r>
      <rPr>
        <b/>
        <sz val="10"/>
        <rFont val="Arial"/>
        <family val="2"/>
      </rPr>
      <t xml:space="preserve">
                                                                                                                                                                                                                                               Forgone revenues:</t>
    </r>
    <r>
      <rPr>
        <sz val="10"/>
        <rFont val="Arial"/>
        <family val="2"/>
      </rPr>
      <t xml:space="preserve">                                                                                             Import duties on mineral concentrate and export duties on precious metals and crocodile skin were suspended. The government has waived tax penalties and interest on outstanding tax liabilities resulting from the impact of COVID-19. It also removed provisions relating to claiming VAT on imported spare parts, lubricants, and stationery.
The 2021 Budget envisions zero rating under the VAT for equipment used for full body sanitization for a period of one year, as well as tax breaks for tourism: a permanently lower CIT rate and suspended import duties and fees.</t>
    </r>
  </si>
  <si>
    <r>
      <t xml:space="preserve">Additional spending ($622.3 bn)
</t>
    </r>
    <r>
      <rPr>
        <sz val="10"/>
        <color theme="1"/>
        <rFont val="Arial"/>
        <family val="2"/>
      </rPr>
      <t xml:space="preserve">•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$178.9 bn. 
• Coronavirus Aid, Relief, and Economic Security Act (March 27, 2020) approved $128.8 bn for additional health spending, which includes funding for hospital ($100 bn), the Center of Disease Control ($4.3bn) and vaccine development and expanding Medicare payments and providing tax advantage for certain medical expense.
• Paycheck Protection Program and Health Care Enhancement Act (April 23, 2020) includes $75 bn for hospitals and $25 bn for testing, with estimated budget cost of $99.6 bn.
• Consolidated Appropriation Act (Dec.21, 2020) includes $23bn for vaccine procument, $9bn for vaccine distribution, $22bn for testing/tracing/covid mitigation programs, with a total estimated cost of 65.4 bn.
• American Rescue Plan (Mar.12, 2021) includes $95.8bn for various activities related to vaccine distributions, testing for, treating, and responding to COVID-19 and other COVID-19 related activities, $14.3bn for preserving private health coverage of workers during the pandemic, $24.4bn for subsidizing health insurance through the government exchange/marketplaces and $23.1bn for expanding and supporting Medicaid, CHIPs and Medicare. The total estimated cost is $151.5bn.
</t>
    </r>
    <r>
      <rPr>
        <b/>
        <sz val="10"/>
        <color theme="1"/>
        <rFont val="Arial"/>
        <family val="2"/>
      </rPr>
      <t xml:space="preserve">
Forgone revenue ($65 bn)
</t>
    </r>
    <r>
      <rPr>
        <sz val="10"/>
        <color theme="1"/>
        <rFont val="Arial"/>
        <family val="2"/>
      </rPr>
      <t>• CARES act includes expansion of qualified medical expenses which is estimated to reduce revenue by $9 bn.
• American Rescue Plan (Mar.12, 2021) will lead to revenue changes due to preserving private health coverage of workers during the pandemic, subsidizing health insurance through the government exchange/marketplaces and expanding and supporting Medicaid, CHIPs and Medicare. The total estimated revenue loss is $56.2bn.</t>
    </r>
  </si>
  <si>
    <t>• Loans to companies in the electricity distribution sector (initially 900 billion but expanded to 1200 billion Rs), carried out by Power Finance Crops and Rural Electrification Corps (both SOEs) under state government guarantees. Government also relaxed the borrowing limits of DISCOM companies on a one-time basis, allowing more electricity distribution companies to take advantage of the borrowing scheme.</t>
  </si>
  <si>
    <r>
      <rPr>
        <b/>
        <sz val="10"/>
        <color theme="1"/>
        <rFont val="Arial"/>
        <family val="2"/>
      </rPr>
      <t xml:space="preserve">Additional spending: </t>
    </r>
    <r>
      <rPr>
        <sz val="10"/>
        <color theme="1"/>
        <rFont val="Arial"/>
        <family val="2"/>
      </rPr>
      <t>for medical equipment and staff for health facilities, and policing the lockdown, vaccine program and rollout, and second wave management.</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</si>
  <si>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(R 227 bn):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(extended to April 2021).
• Increase transfers to households: grants and food distribution and public work program expansions. 
• Increase child support and all other grants from May till Oct 2020.
• Distribute food parcels and provide transfers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(R 26 bn): 
</t>
    </r>
    <r>
      <rPr>
        <sz val="10"/>
        <rFont val="Arial"/>
        <family val="2"/>
      </rPr>
      <t>• Tax subsidy of up to R 750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</si>
  <si>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2020.
• Three-month deferral for filing and payment date of carbon tax.</t>
    </r>
  </si>
  <si>
    <t xml:space="preserve">The Treasury will guarantee up to R 200 bn in loans where also the banks are taking part of the risk to help businesses (with a cap of R100 million per loan) pay operating expenses and restart, suppliers etc (extended to June 11 2021). </t>
  </si>
  <si>
    <r>
      <rPr>
        <b/>
        <sz val="10"/>
        <color theme="1"/>
        <rFont val="Arial"/>
        <family val="2"/>
      </rPr>
      <t>Additional spending (1.702 bn):</t>
    </r>
    <r>
      <rPr>
        <sz val="10"/>
        <color theme="1"/>
        <rFont val="Arial"/>
        <family val="2"/>
      </rPr>
      <t xml:space="preserve">
• Purchase of vaccines and medicines - BGN 198.8 mn;
• Support of personnel on the frontline of the fight with COVID-19 - BGN 192 mn
• Additional financing of medical activities - BGN 748 mn
• Provision of PPA and other equipment to the medical establishments - BGN 130 mn
• Subsidies and capital transfers to medical establishments - BGN 70 mn
• Provision of PPA and other equipment to the state administration - BGN 35 mn;
• Health expenditures in education - BGN 38 mn
• Additional remuneration in healthcare - BGN 287 mn 
</t>
    </r>
    <r>
      <rPr>
        <b/>
        <sz val="10"/>
        <color theme="1"/>
        <rFont val="Arial"/>
        <family val="2"/>
      </rPr>
      <t>Foregone Revenue (0.003 bn):</t>
    </r>
    <r>
      <rPr>
        <sz val="10"/>
        <color theme="1"/>
        <rFont val="Arial"/>
        <family val="2"/>
      </rPr>
      <t xml:space="preserve">
• Exemption from VAT and customs duties of import of key medical supplies - BGN 3 mn</t>
    </r>
  </si>
  <si>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</si>
  <si>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rFont val="Arial"/>
        <family val="2"/>
      </rPr>
      <t>Accelerated spending:</t>
    </r>
    <r>
      <rPr>
        <sz val="10"/>
        <rFont val="Arial"/>
        <family val="2"/>
      </rPr>
      <t xml:space="preserve">
•Accelerated pay to government's suppliers.
</t>
    </r>
    <r>
      <rPr>
        <b/>
        <sz val="10"/>
        <rFont val="Arial"/>
        <family val="2"/>
      </rPr>
      <t>Deferred revenue:</t>
    </r>
    <r>
      <rPr>
        <sz val="10"/>
        <rFont val="Arial"/>
        <family val="2"/>
      </rPr>
      <t xml:space="preserve">
•Deferred CIT, VAT and property taxes.
</t>
    </r>
  </si>
  <si>
    <t>•Injection to the unemployment insurance fund to pay for enhanced coverage and to the state-owned bank for loan guarantees.</t>
  </si>
  <si>
    <r>
      <rPr>
        <b/>
        <sz val="10"/>
        <color theme="1"/>
        <rFont val="Arial"/>
        <family val="2"/>
      </rPr>
      <t>Additional spending:</t>
    </r>
    <r>
      <rPr>
        <sz val="10"/>
        <color theme="1"/>
        <rFont val="Arial"/>
        <family val="2"/>
      </rPr>
      <t xml:space="preserve"> Allocated to support patient care, co-finance healthcare infrastructure improvements, and telemedicine and digitalization.</t>
    </r>
  </si>
  <si>
    <r>
      <rPr>
        <b/>
        <sz val="10"/>
        <color theme="1"/>
        <rFont val="Arial"/>
        <family val="2"/>
      </rPr>
      <t xml:space="preserve">Additional spending (PLN 114.8 bn): </t>
    </r>
    <r>
      <rPr>
        <sz val="10"/>
        <color theme="1"/>
        <rFont val="Arial"/>
        <family val="2"/>
      </rPr>
      <t xml:space="preserve">Wage subsidies for employees of affected businesses up to 40 percent of average wages; care allowance for children owing to school closures; monthly benefit for self-employed individuals. Includes the nonreturnable portion of the Polish Development Fund's provision of liquidity loans that is treated as an above-the-line expenditure item. Several of these measures have been extended durin the second wave, with eligibility limited to companies in sectors most impacted by the partial lockdown,including the write-off of the repayable portion of liquidity loans for affected SMEs and the extension of liquidity loans, guarantees, wage subsidies.
</t>
    </r>
    <r>
      <rPr>
        <b/>
        <sz val="10"/>
        <color theme="1"/>
        <rFont val="Arial"/>
        <family val="2"/>
      </rPr>
      <t xml:space="preserve">Foregone revenue: (PLN 20.7 bn) </t>
    </r>
    <r>
      <rPr>
        <sz val="10"/>
        <color theme="1"/>
        <rFont val="Arial"/>
        <family val="2"/>
      </rPr>
      <t>For micro firms up to 9 employees social insurance contributions will be covered by the budget for 3 months. For companies employing from 10 to 49 employees 50% of social insurance contributions will be paid by the budget. Extended to month of November for affected industries, and later for December and January. Also includes non-collection of tax revenue (CIT/PIT) in 2021 due to subsidies granted for liquidity loans.</t>
    </r>
  </si>
  <si>
    <t>Deferred revenue:Possible deferral, payment in installments, or cancellation of taxes. Deduction of this year’s losses for 2021 tax settlement (the tax returns  for 2019 might be corrected in order to deduct the losses of 2020 from 2019 income).</t>
  </si>
  <si>
    <t xml:space="preserve">• Credit guarantees and micro-loans for entrepreneurs from the Polish Development Fund and BGK state-owned development bank.
</t>
  </si>
  <si>
    <r>
      <rPr>
        <b/>
        <sz val="10"/>
        <color theme="1"/>
        <rFont val="Arial"/>
        <family val="2"/>
      </rPr>
      <t xml:space="preserve">Additional spending (RON 19.6 bn): </t>
    </r>
    <r>
      <rPr>
        <sz val="10"/>
        <color theme="1"/>
        <rFont val="Arial"/>
        <family val="2"/>
      </rPr>
      <t xml:space="preserve">
Paying 75 percent of the gross wage to employees of companies facing difficulties (RON4.3 billion); paying 75 percent of gross wage to affected self-employed and individual enterprises (RON0.9 billion); Covering partially the wages of parents staying home for the period the schools are closed  (RON 0.09 bn); Continue to pay technical unemployment benefits to those returning to work  (4.6 billion RON); The state finances 75% of the gross salary for professional athletes (RON 0.1bn); Grants to businesses (RON8.6 billion); Wage supports to hire job seekers over 50 or below 30 or Romanian citizens returning to the country after losing their jobs abroad.
</t>
    </r>
    <r>
      <rPr>
        <b/>
        <sz val="10"/>
        <color theme="1"/>
        <rFont val="Arial"/>
        <family val="2"/>
      </rPr>
      <t>Forgone revenue (RON 0.9 bn):</t>
    </r>
    <r>
      <rPr>
        <sz val="10"/>
        <color theme="1"/>
        <rFont val="Arial"/>
        <family val="2"/>
      </rPr>
      <t xml:space="preserve"> 5 to 10 percent discount for corporate income tax payments.</t>
    </r>
  </si>
  <si>
    <r>
      <rPr>
        <b/>
        <sz val="10"/>
        <rFont val="Arial"/>
        <family val="2"/>
      </rPr>
      <t>Deferred revenue:</t>
    </r>
    <r>
      <rPr>
        <sz val="10"/>
        <rFont val="Arial"/>
        <family val="2"/>
      </rPr>
      <t xml:space="preserve"> Deferring by 3 months the payment of property taxes  (expired)
Expediting VAT refunds (expired)
Temporary suspension of tax controls and enforcement (expired)
Suspending labor inspections (expired)
Deferral of rent and utility payments for affected SMEs (expired)
Exempting for 90 days the specific tax for hospitality industry (expired)</t>
    </r>
  </si>
  <si>
    <t>· Loan guarantees up to 80% of the value of the financing granted to SMEs for working capital and investment. ( maximum value of the  line of credit for financing the working capital is 5 million lei and for investments 10 million lei).
· Loan guarantees up to 90% of the value of the financing for micro-enterprises or small enterprises, for financing of working capital (maximum value RON 500,000 for micro-enterprises and RON 1 million for small businesses. Interest is subsidized for all loans.
· State guarantees for leasing of work equipment for SMEs. The guarantee is up to 80% loan for IT equipment, and 60% for other technological equipment.  The maximum value of the financing will be 5,000,000 RON. The leasing period will be 72 months.
· State guarantee scheme for large companies to be implemented by state-owned Eximbank. The guarantee is up to 80% of loan
· State guarantees for factoring (SMEs)
· State guarantees for holiday vouchers and trade credit insurance (SMEs)</t>
  </si>
  <si>
    <r>
      <rPr>
        <b/>
        <sz val="10"/>
        <color theme="1"/>
        <rFont val="Arial"/>
        <family val="2"/>
      </rPr>
      <t xml:space="preserve">Deferred revenue: </t>
    </r>
    <r>
      <rPr>
        <sz val="10"/>
        <color theme="1"/>
        <rFont val="Arial"/>
        <family val="2"/>
      </rPr>
      <t>Tax relief for businesses: (i) corporate income tax deadline extended to August and September; (ii) one month extension of deadline for filing and payment of VAT, Special Business Tax, and other taxes under the Revenue Department; (iii) Filing of excise tax extended to May and payment to July; (iv) Filing of excise tax by petroleum product operators extended to the 15th of the following month for 3 months.
· Reduced withholding tax form 3 percent to 1.5 percent from April to September 2020.
· Expedited VAT refund process for exporters. 
· Delay in collection of fees and charges levied by government agencies and SOEs.</t>
    </r>
  </si>
  <si>
    <r>
      <rPr>
        <b/>
        <sz val="10"/>
        <color theme="1"/>
        <rFont val="Arial"/>
        <family val="2"/>
      </rPr>
      <t>Additional spending:</t>
    </r>
    <r>
      <rPr>
        <sz val="10"/>
        <color theme="1"/>
        <rFont val="Arial"/>
        <family val="2"/>
      </rPr>
      <t xml:space="preserve"> 
• Strengthening the financial situation in the hospital trust through increased appropriations and temporary reduced employer tax (NOK 6 bn). 
• Increased appropriations to cover expenses for necessary medicines, medical equipment and laboratory analyzes (NOK 4.8 bn). 
• Other measures.
</t>
    </r>
    <r>
      <rPr>
        <b/>
        <sz val="10"/>
        <color theme="1"/>
        <rFont val="Arial"/>
        <family val="2"/>
      </rPr>
      <t>Forgone revenue:</t>
    </r>
    <r>
      <rPr>
        <sz val="10"/>
        <color theme="1"/>
        <rFont val="Arial"/>
        <family val="2"/>
      </rPr>
      <t xml:space="preserve">  
• Strengthening the financial situation in the hospital trust by NOK 6 bn through increased appropriations and temporary reduced employer tax. </t>
    </r>
  </si>
  <si>
    <r>
      <rPr>
        <b/>
        <sz val="10"/>
        <color theme="1"/>
        <rFont val="Arial"/>
        <family val="2"/>
      </rPr>
      <t>Additional spending</t>
    </r>
    <r>
      <rPr>
        <sz val="10"/>
        <color theme="1"/>
        <rFont val="Arial"/>
        <family val="2"/>
      </rPr>
      <t xml:space="preserve">: 
• Include household income protection scheme offering larger wage subsidies for temporary lay-offs, more generous unemployment benefits, and expanded sickness and child care; 
• Measures for business offering a scheme to compensate heavily affected but otherwise sustainable businesses for unavoidable fixed costs, grants for start-ups and subsidies of domestic air routes; 
• Strengthening of critical sectors other than healthcare (public transport, municipalities);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 xml:space="preserve">Lowering of reduced VAT rate from 12 to 6 percent; 
• Change in CIT regulations so that lossmaking companies can re-allocate their losses towards previous years’ taxed profits
• Temporary amendments to the petroleum tax system to improve liquidity in the sector. 
• Suspension of aviation charges. 
• Temporary lowering of the employers’ social insurance contributions. </t>
    </r>
  </si>
  <si>
    <r>
      <rPr>
        <b/>
        <sz val="10"/>
        <rFont val="Arial"/>
        <family val="2"/>
      </rPr>
      <t xml:space="preserve">Additional spending: </t>
    </r>
    <r>
      <rPr>
        <sz val="10"/>
        <rFont val="Arial"/>
        <family val="2"/>
      </rPr>
      <t xml:space="preserve">cash transfers for the most vulnerable
</t>
    </r>
    <r>
      <rPr>
        <b/>
        <sz val="10"/>
        <rFont val="Arial"/>
        <family val="2"/>
      </rPr>
      <t>Forgone revenue:</t>
    </r>
    <r>
      <rPr>
        <sz val="10"/>
        <rFont val="Arial"/>
        <family val="2"/>
      </rPr>
      <t xml:space="preserve"> Tax deferrals (CIT,VAT) and suspension of stamp tax for six months.
</t>
    </r>
  </si>
  <si>
    <r>
      <rPr>
        <b/>
        <sz val="10"/>
        <color theme="1"/>
        <rFont val="Arial"/>
        <family val="2"/>
      </rPr>
      <t xml:space="preserve">Additional spending (€61 bn): </t>
    </r>
    <r>
      <rPr>
        <sz val="10"/>
        <color theme="1"/>
        <rFont val="Arial"/>
        <family val="2"/>
      </rPr>
      <t>on vaccines, equipment, research, information campaigns, as well as broader measures to modernize and improve the capacity of hospitals.</t>
    </r>
  </si>
  <si>
    <r>
      <t>Additional spending (BRL101.7 bn):</t>
    </r>
    <r>
      <rPr>
        <sz val="10"/>
        <color theme="1"/>
        <rFont val="Arial"/>
        <family val="2"/>
      </rPr>
      <t xml:space="preserve"> Federal Government spending (BRL91.7 bn), including BRL 24.5 bn for vaccination purposes, and transfers to Local Governments (BRL 10 bn) to combat the health crisis and cover higher health spending.
</t>
    </r>
    <r>
      <rPr>
        <b/>
        <sz val="10"/>
        <color theme="1"/>
        <rFont val="Arial"/>
        <family val="2"/>
      </rPr>
      <t>Forgone revenue (BRL 7.1 bn):</t>
    </r>
    <r>
      <rPr>
        <sz val="10"/>
        <color theme="1"/>
        <rFont val="Arial"/>
        <family val="2"/>
      </rPr>
      <t xml:space="preserve"> a temporary reduction in taxes (IPI, the Industrialized Products Tax, and zero import taxes) for listed imported and domestic goods necessary to combat Covid-19.</t>
    </r>
  </si>
  <si>
    <r>
      <rPr>
        <b/>
        <sz val="10"/>
        <rFont val="Arial"/>
        <family val="2"/>
      </rPr>
      <t>Accelerated spending (BRL 58.7 bn):</t>
    </r>
    <r>
      <rPr>
        <sz val="10"/>
        <rFont val="Arial"/>
        <family val="2"/>
      </rPr>
      <t xml:space="preserve"> Advance payment of 13th pension benefit, wage bonuses to low-income workers, and sickness/disability benefits.
</t>
    </r>
    <r>
      <rPr>
        <b/>
        <sz val="10"/>
        <rFont val="Arial"/>
        <family val="2"/>
      </rPr>
      <t>Deferred revenue (BRL 170.9 bn):</t>
    </r>
    <r>
      <rPr>
        <sz val="10"/>
        <rFont val="Arial"/>
        <family val="2"/>
      </rPr>
      <t xml:space="preserve"> 
• 2020: 4-month deferral of social contributions paid by firms and employers, 3-month deferral of small business taxes, and delayed PIT filling. Deferral of taxes paid by the telecommunications sector and of tax debt payment obligations.
• 2021: 3 month deferral of small business taxes.</t>
    </r>
  </si>
  <si>
    <r>
      <rPr>
        <b/>
        <sz val="10"/>
        <color theme="1"/>
        <rFont val="Arial"/>
        <family val="2"/>
      </rPr>
      <t>Additional spending</t>
    </r>
    <r>
      <rPr>
        <sz val="10"/>
        <color theme="1"/>
        <rFont val="Arial"/>
        <family val="2"/>
      </rPr>
      <t xml:space="preserve">: Funding allocated to the health system in 2020 (KZT 232 billion) and in 2021 (KZT265) to cover additional compensation for medical staff, spending on medical services, including the purchase of vaccines, PPE, PCR tests and the construction of medical facilities. Medical staff salary is expected to increase over 2021-23 with the estimated fiscal cost of KZT 557 billion. </t>
    </r>
  </si>
  <si>
    <t>• The reinstatement of a government fund that buys bonds issued by Norwegian companies to increase liquidity and access to capital in the Norwegian bond market, with a ceiling of NOK 50 bn.
• Increased funding for Innovation Norway and Research Council (NOK 5.4 bn). 
• Grant to help alleviate the financial situation in Avinor (NOK 3.6 bn).
• Other (NOK 0.5 bn)</t>
  </si>
  <si>
    <t>• Government guarantee scheme for bank loans to SMEs (NOK 50 bn).              
• A scheme for re-insurance of private credit insurance providers (NOK 20 bn).                    
• A guarantee scheme for the aviation industry (NOK 6 bn).                              
 • A loan scheme for package tour operators   (NOK 2 bn).</t>
  </si>
  <si>
    <r>
      <rPr>
        <b/>
        <sz val="10"/>
        <rFont val="Arial"/>
        <family val="2"/>
      </rPr>
      <t xml:space="preserve">Accelerated spending (31 bn): </t>
    </r>
    <r>
      <rPr>
        <sz val="10"/>
        <rFont val="Arial"/>
        <family val="2"/>
      </rPr>
      <t>Accelerated domestic VAT refunds.</t>
    </r>
    <r>
      <rPr>
        <b/>
        <sz val="10"/>
        <rFont val="Arial"/>
        <family val="2"/>
      </rPr>
      <t xml:space="preserve">
                                                                                                                                                                              Deferred revenue (49 bn)</t>
    </r>
    <r>
      <rPr>
        <sz val="10"/>
        <rFont val="Arial"/>
        <family val="2"/>
      </rPr>
      <t>: Deadline for payment of suspended VAT extended from 12 to 24 months (CFAF 15 billion). Accelerated refund of VAT credits, deferral of CIT for SMEs and companies in hardest hit sectors.</t>
    </r>
  </si>
  <si>
    <t>Additional spending:           
· Additional health equipment (ventilators)
· Personal Protective Equipment
· Bonuses for front line health-workers dealing with Covid-19
· Setting up a new quarantine center 
·  COVID-19 treatment and vaccines (Lk10.2bn for 2021)
· Wage increases for doctors and nurses (Lk4.5bn for 2021)</t>
  </si>
  <si>
    <r>
      <rPr>
        <b/>
        <sz val="10"/>
        <color theme="1"/>
        <rFont val="Arial"/>
        <family val="2"/>
      </rPr>
      <t>Additional spending (BRL 560 bn):</t>
    </r>
    <r>
      <rPr>
        <sz val="10"/>
        <color theme="1"/>
        <rFont val="Arial"/>
        <family val="2"/>
      </rPr>
      <t xml:space="preserve">
• Targeted assistance for the elderly, poor, and unemployed, including (i) expanding the cash transfer program 'Bolsa Família' to accommodate 1.2 million new beneficiaries; (ii) “Covid-19” cash transfer ("Emergency Aid) for informal workers and  low-income households, of BRL600 per month in April-August and BRL 300 per month in September-December 2020 and BRL 250 per month in April - July 2021; (iii) a subsidized job retention scheme, allowing temporary suspension or reduction of private sector employees working contracts; and (iv) temporary electricity consumption subsidies for poor families. The Federal Government provided extraordinary transfers to subnational governments to compensate for revenue losses and cover larger social assistance and health costs, and granted a stay on debt service payments. Subnational governments were also allowed to renegotiate debts with public banks.
</t>
    </r>
    <r>
      <rPr>
        <b/>
        <sz val="10"/>
        <color theme="1"/>
        <rFont val="Arial"/>
        <family val="2"/>
      </rPr>
      <t xml:space="preserve">Forgone revenue (BRL 19.1 bn): </t>
    </r>
    <r>
      <rPr>
        <sz val="10"/>
        <color theme="1"/>
        <rFont val="Arial"/>
        <family val="2"/>
      </rPr>
      <t xml:space="preserve">
• Elimination of the financial transactions tax (during 9 months)</t>
    </r>
  </si>
  <si>
    <r>
      <t xml:space="preserve">Additional spending (BGN 3.778 bn): </t>
    </r>
    <r>
      <rPr>
        <sz val="10"/>
        <rFont val="Arial"/>
        <family val="2"/>
      </rPr>
      <t xml:space="preserve">
• Pensioners support - bonuses, minimum pension increase - BGN 1639.4 mn;
• Parental support - BGN 180 mn;
• Active labor market policies - BGN 14 mn;
• Tourism vouchers of BGN 210 for the people of the frontline - BGN 10 mn;
• Increased unemployment benefits and other social support - BGN 344 mn;
• 60/40 employment subsidy scheme - BGN 1136 mn;
• Support for artists, who have been hit by the lockdown - BGN 5 mn;
• Tourism support - BGN 47 mn;
• Agricultural producers support - BGN 85 mn;
• Expenditures for remote education - BGN 30 mn;
• National co-financing of EU-funded measures - BGN 168 mn;
• “Keep Me” program - BGN 25 million;
• "Employment for you" program - BGN 50 million;
• "Parents in Employment" program - BGN 23 million.
Support with BGN 290 each in the workplace in the hotel and restaurant sector - BGN 22 million.</t>
    </r>
    <r>
      <rPr>
        <b/>
        <sz val="10"/>
        <rFont val="Arial"/>
        <family val="2"/>
      </rPr>
      <t xml:space="preserve">
Forgone revenue (BGN 0.486 bn):  
</t>
    </r>
    <r>
      <rPr>
        <sz val="10"/>
        <rFont val="Arial"/>
        <family val="2"/>
      </rPr>
      <t>• Tax relief for households with children with disabilities - BGN 143 mn;
• Reduced VAT rate of 9% for restaurant services, books, baby food, wine, beer, tour operators and tourist trips, gyms and sports facilities and food delivery until end-2021 - BGN 343 mn.</t>
    </r>
  </si>
  <si>
    <t>(iii) €400 bn to provide additional state guarantees to non-financial corporations to alleviate liquidity bottlenecks and support refinancing.
•  For the new and expansion of the existing KfW-programs, the guarantee framework of the federal government was increased by €357 bn. 
•  Total guarantees provided by state governments to be increased by €70 bn.</t>
  </si>
  <si>
    <r>
      <rPr>
        <b/>
        <sz val="10"/>
        <color theme="1"/>
        <rFont val="Arial"/>
        <family val="2"/>
      </rPr>
      <t xml:space="preserve">Additional spending (CAD 289.9 bn): </t>
    </r>
    <r>
      <rPr>
        <sz val="10"/>
        <color theme="1"/>
        <rFont val="Arial"/>
        <family val="2"/>
      </rPr>
      <t xml:space="preserve">
Households (CAN 253.6 bn)
of which:	
• Emergency response benefit, Recovery benefits, and enhanced employment insurance (CAN 120.2 bn)
• Wage subsidies and protecting jobs (CAN 110.5.2 bn)
• Others, including support to students, seniors, and vulnerable groups (CAN 22.9 bn)
Businesses (CAN 36.2 bn)
of which:	
• Emergency business account with 25% loan forgiveness (CAN 13.8 bn)
• Emergency rent subsidy (CAN 8.4 bn)
• Others, including sector-specific support and sub-nationals support (CAN 14 bn)</t>
    </r>
  </si>
  <si>
    <r>
      <rPr>
        <b/>
        <sz val="10"/>
        <rFont val="Arial"/>
        <family val="2"/>
      </rPr>
      <t>Additional spending:</t>
    </r>
    <r>
      <rPr>
        <sz val="10"/>
        <rFont val="Arial"/>
        <family val="2"/>
      </rPr>
      <t xml:space="preserve">                                                                                                                                                                                                                 Additional spending on vaccines, healthcare equipment, testing; compensation against COVID-19 related health risks of officials, doctors and field staff; hiring of additional healthcare workers, COVID-19 Preparedness and Response Plan by the Ministry of Health. etc.  
</t>
    </r>
    <r>
      <rPr>
        <b/>
        <sz val="10"/>
        <rFont val="Arial"/>
        <family val="2"/>
      </rPr>
      <t>Forgone revenue:</t>
    </r>
    <r>
      <rPr>
        <sz val="10"/>
        <rFont val="Arial"/>
        <family val="2"/>
      </rPr>
      <t xml:space="preserve">                                                                                                                                                                                                                           The National Board of Revenue has temporarily suspended duties and taxes on imports of medical supplies, including protective equipment and test kits.</t>
    </r>
  </si>
  <si>
    <t>• Envelope for direct equity support (mostly for strategic companies, e.g., Air France-KLM, SNCF).</t>
  </si>
  <si>
    <r>
      <t xml:space="preserve">                                                                                                                                                          
</t>
    </r>
    <r>
      <rPr>
        <b/>
        <sz val="10"/>
        <rFont val="Arial"/>
        <family val="2"/>
      </rPr>
      <t xml:space="preserve">                                                                                                                                                                                                                                                    Additional spending</t>
    </r>
    <r>
      <rPr>
        <sz val="10"/>
        <rFont val="Arial"/>
        <family val="2"/>
      </rPr>
      <t xml:space="preserve">: Measures include: mass agriculture program, extensive public work and road construction, mass housing program, strengthening social safety net, support micro, small and medium enterprise. Conditional cash transfers are provided to households on the social register, the coverage of which is being expanded from 2.6m to 3.6m households. School feeding programs continue even with school closures. A Special Public Works program is set up.
</t>
    </r>
    <r>
      <rPr>
        <b/>
        <sz val="10"/>
        <rFont val="Arial"/>
        <family val="2"/>
      </rPr>
      <t xml:space="preserve">
Forgone revenue:</t>
    </r>
    <r>
      <rPr>
        <sz val="10"/>
        <rFont val="Arial"/>
        <family val="2"/>
      </rPr>
      <t xml:space="preserve"> Income tax relief and import duty waivers for medicine and medical goods were introduced.</t>
    </r>
  </si>
  <si>
    <t>Ceneral Government</t>
  </si>
  <si>
    <t>Deferred revenue: Income tax payments deferred by one quarter.</t>
  </si>
  <si>
    <r>
      <t xml:space="preserve">Additional spending (AUD 239.2 bn): 
</t>
    </r>
    <r>
      <rPr>
        <sz val="10"/>
        <rFont val="Arial"/>
        <family val="2"/>
      </rPr>
      <t>At the Commonwealth government level 
• Measures include tax-free cash flow assistance, wage subsidies, payments to lower-income Australians (pensioners, other social security and veteran income support recipients, and eligible concession cardholders), and the Home Builder program. 
• FY2021 budget, released on October 6, includes additional spending measures under the JobMaker program, comprising job hiring credit, infrastructure projects, and others for job creation. 
• The 2020-21  MYEFO extends coronavirus supplement and other income support measures through end-March 2021.                                                                          • The FY2022 budget adds spending on infrastructure investment, extension of aviation and tourism support, women’s economic support package, and various programs for job creation
At state and local government levels 
• Measures include discount utility bills, cash payments to vulnerable households, and construction and infrastructure projects.
• The Commonwealth government will help finance fast-track infrastructure projects across States and Territories and the arts industry for job creation, as well as the new home care package for the senior citizens. 
• Pandemic Leave Disaster Payment has been arranged with the State and Territory governments, which provides a lump sum payment to help workers during their 14-day self-isolation period.</t>
    </r>
    <r>
      <rPr>
        <b/>
        <sz val="10"/>
        <rFont val="Arial"/>
        <family val="2"/>
      </rPr>
      <t xml:space="preserve">
Forgone revenue (AUD 102.5 bn): 
</t>
    </r>
    <r>
      <rPr>
        <sz val="10"/>
        <rFont val="Arial"/>
        <family val="2"/>
      </rPr>
      <t xml:space="preserve">At the Commonwealth government level 
• Measures include raising the asset write-off threshold, accelerated depreciation deductions, and COVID-19 Relief and Recovery Fund which provides waiver of fees and charges to affected industries (e.g., aviation industry), regions, and communities.
• FY2021 budget includes additional revenue measures under the JobMaker program, comprising extension of immediate expensing, loss carry-backs, income tax cut for lower- and middle-income earners, and tax incentives for R&amp;D.                                                                                                                                                            • The FY2022 budget extends temporary full expensing and loss carry-backs for businesses, and retains the low- and middle-income tax offset for FY2021-22.
At state and local government levels
• Measures include payroll tax relief for businesses. </t>
    </r>
  </si>
  <si>
    <r>
      <t>Additional spending</t>
    </r>
    <r>
      <rPr>
        <sz val="10"/>
        <rFont val="Arial"/>
        <family val="2"/>
      </rPr>
      <t xml:space="preserve"> (NZ$48.4 bn)</t>
    </r>
    <r>
      <rPr>
        <b/>
        <sz val="10"/>
        <rFont val="Arial"/>
        <family val="2"/>
      </rPr>
      <t>:</t>
    </r>
    <r>
      <rPr>
        <sz val="10"/>
        <rFont val="Arial"/>
        <family val="2"/>
      </rPr>
      <t xml:space="preserve"> including wage subsidies available for all employers that are significantly affected by the impact of COVID-19 (NZ$13.9 billion); income relief payment to support people who have lost their job (NZ$570 million); financial support for workers that are not paid normally during self-isolation (NZ$126 million); temporary increase in winter energy payment (NZ$480 million); permanent increase in benefits (NZ$2.4 billion in next four years); infrastructure investment (NZ$3.8 billion); support package for the aviation sector (NZ$600 million); tourism recovery package (NZ$400 million); housing and urban development (NZ$ 4.7 billion); education (NZ$3.4 billion); transport projects (NZ$600 million); government R&amp;D (NZ$196 million); targeted training and apprenticeship fund (NZ$ 320million); and Flexi-wage subsidies (NZ$311 million).
</t>
    </r>
    <r>
      <rPr>
        <b/>
        <sz val="10"/>
        <rFont val="Arial"/>
        <family val="2"/>
      </rPr>
      <t xml:space="preserve">Forgone revenue </t>
    </r>
    <r>
      <rPr>
        <sz val="10"/>
        <rFont val="Arial"/>
        <family val="2"/>
      </rPr>
      <t>(NZ$8.6 bn):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</si>
  <si>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r>
      <rPr>
        <vertAlign val="superscript"/>
        <sz val="10"/>
        <color theme="1"/>
        <rFont val="Arial"/>
        <family val="2"/>
      </rPr>
      <t>1</t>
    </r>
    <r>
      <rPr>
        <sz val="10"/>
        <color theme="1"/>
        <rFont val="Arial"/>
        <family val="2"/>
      </rPr>
      <t xml:space="preserve"> Norway fiscal support measures expressed in percent of continental GDP. </t>
    </r>
  </si>
  <si>
    <r>
      <t xml:space="preserve">Algeria </t>
    </r>
    <r>
      <rPr>
        <vertAlign val="superscript"/>
        <sz val="9"/>
        <color theme="1"/>
        <rFont val="Arial"/>
        <family val="2"/>
      </rPr>
      <t>2</t>
    </r>
  </si>
  <si>
    <r>
      <rPr>
        <b/>
        <sz val="10"/>
        <color theme="1"/>
        <rFont val="Arial"/>
        <family val="2"/>
      </rPr>
      <t>Additional spending:</t>
    </r>
    <r>
      <rPr>
        <sz val="10"/>
        <color theme="1"/>
        <rFont val="Arial"/>
        <family val="2"/>
      </rPr>
      <t xml:space="preserve">                                                                                                                                                                                                                   Hiring of additional healthcare workers, prevention measures, clearance of arrears for medical expenses for civilian agents and defense and security forces, etc.  
</t>
    </r>
    <r>
      <rPr>
        <b/>
        <sz val="10"/>
        <color theme="1"/>
        <rFont val="Arial"/>
        <family val="2"/>
      </rPr>
      <t>Forgone revenue:</t>
    </r>
    <r>
      <rPr>
        <sz val="10"/>
        <color theme="1"/>
        <rFont val="Arial"/>
        <family val="2"/>
      </rPr>
      <t xml:space="preserve">                                                                                                                                                                                                                            tax exemptions and simplification of the import process for food and necessity items, including health equipment.</t>
    </r>
  </si>
  <si>
    <r>
      <rPr>
        <b/>
        <sz val="10"/>
        <color theme="1"/>
        <rFont val="Arial"/>
        <family val="2"/>
      </rPr>
      <t>Additional spending:</t>
    </r>
    <r>
      <rPr>
        <sz val="10"/>
        <color theme="1"/>
        <rFont val="Arial"/>
        <family val="2"/>
      </rPr>
      <t xml:space="preserve"> 
· clearance of arrears on death benefits due to deceased civil and military agents, indemnities and ancillary wages owed to retirees, 
. establishment of a Youth Entrepreneurship Fund;  
</t>
    </r>
    <r>
      <rPr>
        <b/>
        <sz val="10"/>
        <color theme="1"/>
        <rFont val="Arial"/>
        <family val="2"/>
      </rPr>
      <t xml:space="preserve">. </t>
    </r>
    <r>
      <rPr>
        <sz val="10"/>
        <color theme="1"/>
        <rFont val="Arial"/>
        <family val="2"/>
      </rPr>
      <t xml:space="preserve">creation of a solidarity fund for the vulnerable population amounting to CFAF 100 billion.
</t>
    </r>
    <r>
      <rPr>
        <b/>
        <sz val="10"/>
        <color theme="1"/>
        <rFont val="Arial"/>
        <family val="2"/>
      </rPr>
      <t xml:space="preserve">. </t>
    </r>
    <r>
      <rPr>
        <sz val="10"/>
        <color theme="1"/>
        <rFont val="Arial"/>
        <family val="2"/>
      </rPr>
      <t>clearance of arrears to suppliers;                                                                    
. subsidies to agriculture.</t>
    </r>
    <r>
      <rPr>
        <b/>
        <sz val="10"/>
        <color theme="1"/>
        <rFont val="Arial"/>
        <family val="2"/>
      </rPr>
      <t xml:space="preserve">                                                                                                                                                                                             
Forgone revenue:</t>
    </r>
    <r>
      <rPr>
        <sz val="10"/>
        <color theme="1"/>
        <rFont val="Arial"/>
        <family val="2"/>
      </rPr>
      <t xml:space="preserve"> 
·exonerations of employer’s charges for the recruitment of young graduates, exemption from VAT on many items, particularly on equipment and other agricultural related ingredients, and reduction of charges for enterprises that work in the hotels’ business.
· reduction in business license fees and the presumptive tax by 50 percent, and (ii) tax breaks, such as carryforward losses and delays in tax payments, which will be considered on a case-by case basis;                                                             
. suspension of payments of electricity and water bills,                                                   </t>
    </r>
  </si>
  <si>
    <r>
      <rPr>
        <vertAlign val="superscript"/>
        <sz val="10"/>
        <color theme="1"/>
        <rFont val="Arial"/>
        <family val="2"/>
      </rPr>
      <t>2</t>
    </r>
    <r>
      <rPr>
        <sz val="10"/>
        <color theme="1"/>
        <rFont val="Arial"/>
        <family val="2"/>
      </rPr>
      <t xml:space="preserve"> The numbers are based on official estimates covering cumulative spending in 2020 and the first four months of 2021.</t>
    </r>
  </si>
  <si>
    <r>
      <rPr>
        <b/>
        <sz val="10"/>
        <rFont val="Arial"/>
        <family val="2"/>
      </rPr>
      <t>Additional spending:</t>
    </r>
    <r>
      <rPr>
        <sz val="10"/>
        <rFont val="Arial"/>
        <family val="2"/>
      </rPr>
      <t xml:space="preserve"> including medicine, vaccine and medical equipment spending, protective equipment and other needs of University Hospitals and Institutions, SUT expenditure, performance pay for medics.</t>
    </r>
  </si>
  <si>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Deferred revenue (KRW 29.7 tn):</t>
    </r>
    <r>
      <rPr>
        <sz val="10"/>
        <rFont val="Arial"/>
        <family val="2"/>
      </rPr>
      <t xml:space="preserve"> Tax payment deferral including Corporate Income Tax and VAT, deferment in tax investigation, early tax refund have been conducted(KRW 42.9 tn); social security contribution payment deferral for households &amp; electricity charge deferral (KRW 0.5 tn)</t>
    </r>
  </si>
  <si>
    <r>
      <t>Additional spending (Rs 7043.2 bn):</t>
    </r>
    <r>
      <rPr>
        <sz val="10"/>
        <rFont val="Arial"/>
        <family val="2"/>
      </rPr>
      <t xml:space="preserve">
• On March 26, the central government announced a package that provides insurance coverage for workers in the healthcare sector, substantial in-kind (food; cooking gas) and cash transfers, as well as wage support to poor households (Rs 1.49 tn).
• Between May 13 and 17, additions to this initial package were announced. These focused on extending the government's existing rural employment guarantee scheme (additional Rs 400 bn), extension of food support to migrants (Rs 35 bn) and miscellaneous other measures (about Rs 93 bn).
• On June 30, authorities extended the provision of food rations to vulnerable households (Rs 829 bn).
• On August 20, authorities extended and expanded unemployment benefits for workers who are covered under the Employees State Insurance Corporation (ESIC) scheme.
• On October 12, authorities announced measures targeting consumption and public investment. On the consumption side authorities: i) offered public sector employees a cash payment which can be used to buy (via digital mode) goods that attract GST of 12% or more (i.e. discretionary, nonessential items) (Rs 56.8 bn): ii) a Special Festive Advance Scheme which is an interest-free advance to central government employees (Rs 40 bn). On the public investment side authorities announced i) additional spending by the central government (Rs 250 bn) and a lending scheme for state governments, involving a 50-year interest free loan (Rs 120 bn). 
• On November 12, authorities announced a new package (Rs 2650.8 bn) which included: (i) a Production Linked Incentive scheme targeting 13 priority sectors (1459.8 billion Rs.) to be disbursed over 5 years (no impact on the current fiscal year); (ii) more spending on fertilizer subsidies (650 billion Rs.); (iii) spending on urban housing projects (180 billion Rs.); (iv) additional capital expenditure and industrial infrastructure and incentives (102 billion Rs.); (v) support for rural employment (100 billion Rs.) and employment support in the formal sector (60 billion Rs.).
• In April 2021, in response to the recent surge in infections, the authorities announced that free food grains to individuals in May and June (260 billion Rs). The authorities also extended a scheme for providing interest-free loans to states for capital expenditure to FY2021/22 (150 billion Rs.) and expedited the release of Disaster Response Fund to state governments (from June to May).
In June 2021, in response to the second wave, the additional food grains were extended from end-June to end-November and additional fertilizer subsidies were announced.</t>
    </r>
  </si>
  <si>
    <t>• Injecting capital into Finnish Industry Investment for the setting up of a new stability programme (€400 million)
• Equity investment in Finnish Minerals Group (€500 million)
• Capitalisation arrangements in Finnair Plc and other state owned companies (€300 million)</t>
  </si>
  <si>
    <r>
      <rPr>
        <b/>
        <sz val="10"/>
        <color theme="1"/>
        <rFont val="Arial"/>
        <family val="2"/>
      </rPr>
      <t>Additional spending (€6.1 billion):</t>
    </r>
    <r>
      <rPr>
        <sz val="10"/>
        <color theme="1"/>
        <rFont val="Arial"/>
        <family val="2"/>
      </rPr>
      <t xml:space="preserve"> 
•	Support for enterprises: grants provided for companies by Business Finland and ELY Centres, support for solvency of sole entrepreneurs, support for catering entrepreneurs, support for agricultural and natural resource economy enterprises, general cost support for companies, estimated increase in Finnvera’s loss compensation etc. (€4 billion)
•	Extension of unemployment security: eliminating the waiting period, speeding up the layoff procedure, making entrepreneurs eligible for unemployment security, extending the payment period of startup grants, streamlining unemployment benefit payments etc. (€700 million)
•	Extension of social benefits: support for individuals arriving from other countries and parents of small children, temporary increase in social assistance (€200 million)
•	Children and young people, and wellbeing of the elderly: free leisure activities, early childhood education and care, basic education and general upper secondary education, guidance counselling and youth work, student health care, ensuring properly functioning services for the elderly (€300 million)
•	Investment projects: basic transport infrastructure maintenance, developing the transport network, renovation construction, and public transport support. The sums for the years 2021 and 2022 are based on a technical assumption concerning the timing of the projects. (€400 million)
•	R&amp;D&amp;I, competence and wellbeing: additional starting places for higher education and developing continuous learning, research appropriations for the Academy of Finland, public employment and business services and developing the service structure. (€400 million)
</t>
    </r>
    <r>
      <rPr>
        <b/>
        <sz val="10"/>
        <color theme="1"/>
        <rFont val="Arial"/>
        <family val="2"/>
      </rPr>
      <t>Forgone revenue (€1.1 billion):</t>
    </r>
    <r>
      <rPr>
        <sz val="10"/>
        <color theme="1"/>
        <rFont val="Arial"/>
        <family val="2"/>
      </rPr>
      <t xml:space="preserve">
•	Lowering of private sector pension contributions for the period May 1 - 31 December  2020 (1.1)
</t>
    </r>
  </si>
  <si>
    <r>
      <rPr>
        <b/>
        <sz val="10"/>
        <color theme="1"/>
        <rFont val="Arial"/>
        <family val="2"/>
      </rPr>
      <t>Deferred revenue:</t>
    </r>
    <r>
      <rPr>
        <sz val="10"/>
        <color theme="1"/>
        <rFont val="Arial"/>
        <family val="2"/>
      </rPr>
      <t xml:space="preserve"> Easing of payment terms for taxes and lowering the interest on late payments from 7% to 2.5%.  Assessing the impacts of the delays of 2020 and 2021 tax revenue to 2022 and 2023 (€500 million)</t>
    </r>
  </si>
  <si>
    <t xml:space="preserve">•	Increasing Finnvera’s domestic financing authorisations from EUR 4.2 to EUR 12 billion. About EUR 2 billion of the existing authorisations have already been used in spring and thus the increase in authorisations was about EUR 10 billion. (€10 billion)
•	Increasing Business Finland’s lending authorisations, total increase for the period 2020-2022 (€300 million)
•	State guarantees to cover Finnair’s financing needs (€500 million)
•	State guarantees to shipping companies to ensure cargo traffic important to security of supply (€600 million)
•	State guarantees for the loans granted within the framework of the European instrument for temporary Support to mitigate Unemployment Risks in an Emergency (SURE) (€400 million)
•	State guarantees for any losses arising from the Pan-European covid-19 guarantee fund to be established under the European Investment Bank (€400 million)
</t>
  </si>
  <si>
    <t>• The State Pension Fund will invest in commercial paper (€1 billion).
• Bank of Finland's investments in commercial paper (€1 billion).
• Authorizing the Financial Stability Fund to borrow funds to meet its X81statutory obligations concerning the deposit guarantee (€2 billion)</t>
  </si>
  <si>
    <r>
      <rPr>
        <b/>
        <sz val="10"/>
        <color theme="1"/>
        <rFont val="Arial"/>
        <family val="2"/>
      </rPr>
      <t>Deferred revenue</t>
    </r>
    <r>
      <rPr>
        <sz val="10"/>
        <color theme="1"/>
        <rFont val="Arial"/>
        <family val="2"/>
      </rPr>
      <t>: Figures refer to 2020 eop stock of:
• Suspension of payments on CIT account (0.7 bn).
• Suspension of tax foreclosures from Tax Revenue (estimate) (0.1 bn)
• Suspension of payment of installment plans and contributory execution processes
Policy measures for 2021:
• Reduction of PIT withholding tax (0.2 bn)+M91
• FYI: short-term intra-year measures, that we included earlier, are not covered.</t>
    </r>
  </si>
  <si>
    <r>
      <rPr>
        <b/>
        <sz val="10"/>
        <rFont val="Arial"/>
        <family val="2"/>
      </rPr>
      <t>Additional spending</t>
    </r>
    <r>
      <rPr>
        <sz val="10"/>
        <rFont val="Arial"/>
        <family val="2"/>
      </rPr>
      <t>: Includes:
• Medical goods including vaccines (CHF3.765 billion)
• Covid-19 tests (CHF3.036 billion)
• Additional spending on medication, health protection and prevention, and by Federal Department of Health (CHF0.418 billion)</t>
    </r>
  </si>
  <si>
    <r>
      <rPr>
        <b/>
        <sz val="10"/>
        <rFont val="Arial"/>
        <family val="2"/>
      </rPr>
      <t>Additional spending</t>
    </r>
    <r>
      <rPr>
        <sz val="10"/>
        <rFont val="Arial"/>
        <family val="2"/>
      </rPr>
      <t>:
• Benefits COVID income replacement directly and indirectly affected (CHF 8.44 bn)
• Financing for short term work program and the unemployment fund (CHF 26.2 bn)
• COVID bridging loan losses (CHF 2.387 bn)
• Support to cantonal hardship programs (CHF 8.232 billion); and other measures</t>
    </r>
  </si>
  <si>
    <t>• Loan support to sports clubs (CHF400 million)
• Loan to ICRC (CHF 200 mn)
• Financial support to air traffic control company Skyguide (CHF500 mn)</t>
  </si>
  <si>
    <r>
      <rPr>
        <b/>
        <sz val="10"/>
        <rFont val="Arial"/>
        <family val="2"/>
      </rPr>
      <t xml:space="preserve">Additional spending (74.14 bn):
• </t>
    </r>
    <r>
      <rPr>
        <sz val="10"/>
        <rFont val="Arial"/>
        <family val="2"/>
      </rPr>
      <t xml:space="preserve">Unemployment benefit for workers temporary laid off under the ERTE due to COVID-19, with no requirement for prior minimum contribution or reduction of accumulated entitlement (about €21.7 bn); and exemptions of social contributions for companies that maintain employment under the ERTEs (about €7.7 bn);
• An allowance for self-employed workers affected by economic activity suspension (about €6.5 bn), and exemption of social contributions for self-employed that receive this benefit (about €3.3 bn);
• Corporate solvency support (€10 bn);
• Measures taken by regional governments on social services, education and support to firms (about €5.5 bn); 
• Introduction of a new means-tested "minimum income scheme"(about €3 bn annually); and new rental assistance programs for certain vulnerable renters and additional state contribution to the State Housing Plan 2018-21;
• Various measures to expand existing benefits for workers and other support for households and firms;
</t>
    </r>
    <r>
      <rPr>
        <b/>
        <sz val="10"/>
        <rFont val="Arial"/>
        <family val="2"/>
      </rPr>
      <t xml:space="preserve">
Forgone revenue (0.8bn): 
</t>
    </r>
    <r>
      <rPr>
        <sz val="10"/>
        <rFont val="Arial"/>
        <family val="2"/>
      </rPr>
      <t>• Flexibility in filing income tax and VAT installment payment for SMEs and self-employed;
• Tax incentives for landlords that reduce rents of properties used for activities related to the hotel, restaurant and tourism industries;
• Reduction in the contribution for Employed Agricultural Workers who have completed a maximum of 55 real days of contribution in 2019;
• Other revenue measures.</t>
    </r>
  </si>
  <si>
    <r>
      <rPr>
        <b/>
        <sz val="10"/>
        <color theme="1"/>
        <rFont val="Arial"/>
        <family val="2"/>
      </rPr>
      <t>Additional spending (17.88 bn):</t>
    </r>
    <r>
      <rPr>
        <sz val="10"/>
        <color theme="1"/>
        <rFont val="Arial"/>
        <family val="2"/>
      </rPr>
      <t xml:space="preserve">
• Budget support from the contingency fund to the Ministry of Health (€1.4 bn); transfer to the regions for health services (€12.4 bn); additional healthcare related spending including research related to COVID-19 (€270 mn). </t>
    </r>
    <r>
      <rPr>
        <b/>
        <sz val="10"/>
        <color theme="1"/>
        <rFont val="Arial"/>
        <family val="2"/>
      </rPr>
      <t xml:space="preserve">Forgone revenue (1.33 bn): </t>
    </r>
    <r>
      <rPr>
        <sz val="10"/>
        <color theme="1"/>
        <rFont val="Arial"/>
        <family val="2"/>
      </rPr>
      <t xml:space="preserve">
• Reduction in VAT for surgical disposable masks; • Reduction in VAT for surgical disposable masks;
• Temporary zero VAT on purchases of certain medical material, as well COVID-19 tests and vaccines                          </t>
    </r>
  </si>
  <si>
    <r>
      <rPr>
        <b/>
        <sz val="10"/>
        <color theme="1"/>
        <rFont val="Arial"/>
        <family val="2"/>
      </rPr>
      <t>Additional spending (2591 bn)</t>
    </r>
    <r>
      <rPr>
        <sz val="10"/>
        <color theme="1"/>
        <rFont val="Arial"/>
        <family val="2"/>
      </rPr>
      <t xml:space="preserve">: 
• Cash payments to the unemployed, self-employed (KZT 42,500 per person per month benefiting 4.5 million people).
• Subsidized lending as part of the Economics of Simple Things state program (KZT 1 trillion, an increase of KZT 600 billion).
• Subsidized lending to finance SME working capital (KZT 600 billion, augmented to KZT 800 billion in September).
• Employment Roadmap state program (KZT 1.8 trillion).
• Additional support was announced on March 31, expanding cash transfers to a broader segment of the population (another 1.5 million beneficiaries, so far payments have already been received by 2.7 million people), indexing pensions and targeted social assistance to a 10-percent increase, and providing access to medical care by uninsured citizens during April 1 to July 2.
• The government will also subsidize credits to farmers (at 5-6% interest rate, compared with over 10% market rate).
• Some of the above mentioned measures are either below the line or off-budget (by development agencies or NBK); the budgetary impact is an increase in expenditure for the republican budget (central government) by KZT 1,400 billion. In mid-July during the second quarantine, the authorities offered another cash transfer program (KZT 42,500) to people who lost their jobs due to the quarantine.
</t>
    </r>
    <r>
      <rPr>
        <b/>
        <sz val="10"/>
        <color theme="1"/>
        <rFont val="Arial"/>
        <family val="2"/>
      </rPr>
      <t xml:space="preserve">
Forgone revenue (800 bn):</t>
    </r>
    <r>
      <rPr>
        <sz val="10"/>
        <color theme="1"/>
        <rFont val="Arial"/>
        <family val="2"/>
      </rPr>
      <t xml:space="preserve"> 
• Tax breaks for large trade centers, cinemas, which are closed during to COVID-19; tax exemptions for individual entrepreneurs and SMEs.
• VAT exemptions on food and socially important goods and services (such as lower utility rate); 
• Additional support to hard-hit industries (e.g. VAT exemptions for civil aviation; land tax and VAT exemptions for tourism; land tax exemption for agricultural producers; property tax exemptions for SMEs in vulnerable sectors).
• Tax exemptions have also been extended in light of the second quarantine.</t>
    </r>
  </si>
  <si>
    <r>
      <rPr>
        <b/>
        <sz val="10"/>
        <color theme="1"/>
        <rFont val="Arial"/>
        <family val="2"/>
      </rPr>
      <t xml:space="preserve">Deferred revenue: </t>
    </r>
    <r>
      <rPr>
        <sz val="10"/>
        <color theme="1"/>
        <rFont val="Arial"/>
        <family val="2"/>
      </rPr>
      <t xml:space="preserve">
• Deferral of payroll taxes from April 1st to June 1st 2020. This is intra-year, with no impact on revenue for the year as a whole.M126</t>
    </r>
  </si>
  <si>
    <t>Credit guarantee fund (GEL 0.097 billion)</t>
  </si>
  <si>
    <r>
      <rPr>
        <b/>
        <sz val="10"/>
        <color theme="1"/>
        <rFont val="Arial"/>
        <family val="2"/>
      </rPr>
      <t>Additional spending (12.01 bn)</t>
    </r>
    <r>
      <rPr>
        <sz val="10"/>
        <color theme="1"/>
        <rFont val="Arial"/>
        <family val="2"/>
      </rPr>
      <t xml:space="preserve">: Purchase of medical equipment for Ministry of Health as well as new hiring, purchase of cleaning kits for schools, enhanced monitoring and information campaigns. Purchase and distribution of test kits, medical supplies,  vaccines.
</t>
    </r>
    <r>
      <rPr>
        <b/>
        <sz val="10"/>
        <color theme="1"/>
        <rFont val="Arial"/>
        <family val="2"/>
      </rPr>
      <t>Forgone revenue (0.033 bn): .</t>
    </r>
    <r>
      <rPr>
        <sz val="10"/>
        <color theme="1"/>
        <rFont val="Arial"/>
        <family val="2"/>
      </rPr>
      <t xml:space="preserve">
• Elimination of import taxes on medicines and medical health supplies.</t>
    </r>
  </si>
  <si>
    <r>
      <rPr>
        <b/>
        <sz val="10"/>
        <color theme="1"/>
        <rFont val="Arial"/>
        <family val="2"/>
      </rPr>
      <t>Additional spending (40.659 bn): 
• Cash transfers for poor families, independent workers, and other families in need.</t>
    </r>
    <r>
      <rPr>
        <sz val="10"/>
        <color theme="1"/>
        <rFont val="Arial"/>
        <family val="2"/>
      </rPr>
      <t xml:space="preserve"> 
• Electricity subsidy.
• Tablets for students.
• Public works and other public investment projects.
• Transport subsidies.
• In-kind grants.
• Wage subsidies.
Forgone revenue (16.2 bn): Tax deferrals (CIT and  VAT)</t>
    </r>
  </si>
  <si>
    <r>
      <rPr>
        <b/>
        <sz val="10"/>
        <color theme="1"/>
        <rFont val="Arial"/>
        <family val="2"/>
      </rPr>
      <t xml:space="preserve">Deferred revenue: </t>
    </r>
    <r>
      <rPr>
        <sz val="10"/>
        <color theme="1"/>
        <rFont val="Arial"/>
        <family val="2"/>
      </rPr>
      <t xml:space="preserve">
• Deferral of corporate and personal income taxes.</t>
    </r>
  </si>
  <si>
    <t>• Guarantees to new financial sector loans for working capital, primarily targeted to SMEs. The program is also tied to a liquidity provision program in which the central bank can accept the guaranteed loans for repo operations. It also includes an Enterprise Support Fund program for SMEs and micro enterprises. Government guarantees backing loan restructurings for households and SMEs.</t>
  </si>
  <si>
    <t xml:space="preserve"> </t>
  </si>
  <si>
    <t>The authorities have identified over 300 enterprises, the "core" enterprises, to receive preferential treatment from the state, including guarantees and liquidity support, provided that they preserve employment, support domestic suppliers, and meet certain transparency and governance requirements.</t>
  </si>
  <si>
    <t>• The SME working capital financing (KZT 800 bn) program will be financed by Kazakhstan stability fund, a subsidiary of the National Bank of Kazakhstan. The program is extended to end-2021. eneficiaries of this program are also expanded to cover some large enterprises that experience liquidity difficulties as a result of the pandemic (airlines, hotels, etc.). The total financing provided by the National bank is around KZT 2500 billion (to support SMEs and infrastructure projects) in the form of subsidized lending. There are two other loan schemes funded by state-owned entities aimed at supporting small businesses for up to KZT1.2 tn. These programs have been extended until 2022.X126</t>
  </si>
  <si>
    <r>
      <rPr>
        <b/>
        <sz val="10"/>
        <color theme="1"/>
        <rFont val="Arial"/>
        <family val="2"/>
      </rPr>
      <t>Additional spending (61.1 bn):
•</t>
    </r>
    <r>
      <rPr>
        <sz val="10"/>
        <color theme="1"/>
        <rFont val="Arial"/>
        <family val="2"/>
      </rPr>
      <t xml:space="preserve"> Companies expecting a reduction in revenues over 20% can request a compensation for labor costs (max 90% of labor costs) to allow companies to continue paying wages; compensation for affected sectors (for example, hospitality  and travel). </t>
    </r>
    <r>
      <rPr>
        <b/>
        <sz val="10"/>
        <color theme="1"/>
        <rFont val="Arial"/>
        <family val="2"/>
      </rPr>
      <t xml:space="preserve">
• </t>
    </r>
    <r>
      <rPr>
        <sz val="10"/>
        <color theme="1"/>
        <rFont val="Arial"/>
        <family val="2"/>
      </rPr>
      <t>Income support for entrepreneurs and self-employed (administered at municipal and regional level) for a period of three months through expedited procedures.</t>
    </r>
    <r>
      <rPr>
        <b/>
        <sz val="10"/>
        <color theme="1"/>
        <rFont val="Arial"/>
        <family val="2"/>
      </rPr>
      <t xml:space="preserve">
• </t>
    </r>
    <r>
      <rPr>
        <sz val="10"/>
        <color theme="1"/>
        <rFont val="Arial"/>
        <family val="2"/>
      </rPr>
      <t>Support for start-ups and small innovation companies through loans provided by government regional agencies.</t>
    </r>
    <r>
      <rPr>
        <b/>
        <sz val="10"/>
        <color theme="1"/>
        <rFont val="Arial"/>
        <family val="2"/>
      </rPr>
      <t xml:space="preserve"> 
• </t>
    </r>
    <r>
      <rPr>
        <sz val="10"/>
        <color theme="1"/>
        <rFont val="Arial"/>
        <family val="2"/>
      </rPr>
      <t>Scaling up of the short-time working scheme (unemployment benefit compensation available to companies needing to reduce their staff by at least 20 percent).</t>
    </r>
    <r>
      <rPr>
        <b/>
        <sz val="10"/>
        <color theme="1"/>
        <rFont val="Arial"/>
        <family val="2"/>
      </rPr>
      <t xml:space="preserve"> 
• </t>
    </r>
    <r>
      <rPr>
        <sz val="10"/>
        <color theme="1"/>
        <rFont val="Arial"/>
        <family val="2"/>
      </rPr>
      <t>Allowances for SMEs affected by the outbreak to help them finance their fixed costs. 
• 60.4 billion in 2020-2022.</t>
    </r>
    <r>
      <rPr>
        <b/>
        <sz val="10"/>
        <color theme="1"/>
        <rFont val="Arial"/>
        <family val="2"/>
      </rPr>
      <t xml:space="preserve">
Forgone revenue (info not available for 2021-2022, 4.6 bn in 2020):
• </t>
    </r>
    <r>
      <rPr>
        <sz val="10"/>
        <color theme="1"/>
        <rFont val="Arial"/>
        <family val="2"/>
      </rPr>
      <t>Reduction of tourist taxes and taxes in the culture sector</t>
    </r>
    <r>
      <rPr>
        <b/>
        <sz val="10"/>
        <color theme="1"/>
        <rFont val="Arial"/>
        <family val="2"/>
      </rPr>
      <t xml:space="preserve">.
• </t>
    </r>
    <r>
      <rPr>
        <sz val="10"/>
        <color theme="1"/>
        <rFont val="Arial"/>
        <family val="2"/>
      </rPr>
      <t xml:space="preserve">The interest rate on tax deferrals is reduced from 4% to just above 0%. </t>
    </r>
  </si>
  <si>
    <t>• The loan guarantee program for businesses (especially those affected by the outbreak) was expanded to cover up to 90 percent of total loan for SMEs (with maturity of 1 year or less) and 80 percent for large firms.
• V84A guarantee scheme for supplier credit was also established.
• A guarantee scheme for supplier credit was also established.</t>
  </si>
  <si>
    <t>Government loans (264 bn):
• Government (interest free) loans (2020 &amp; 2021) (announced: DKK 264.0; uptake: DKK 40.8 bn)
Equity injections or asset purchases (18 bn):
• SAS AB has completed a recapitalisation of the company to which the Danish State (among others) has contributed (DKK 3.8 bn)
• Danish Recapitalization Fund (DKK 10 bn)  Danish state will invest in equity as an investor of last resort by acquiring preferred shares of the beneficiaries affected by Covid-19
• A recapitalisation scheme administered by The Danish Growth Fund aimed at strengthening the solvency of SMEs and smaller midcaps (DKK 3 bn).
• Equity to start ups (DKK 1.2 bn).</t>
  </si>
  <si>
    <t>Guarantees (inc. trade credit insurance) (announced DKK 82.2 bn; uptake DKK 36.5 bn).V78</t>
  </si>
  <si>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 Free vaccines. Free PCR tests for students (from July 2021) and vulnerable groups.</t>
    </r>
  </si>
  <si>
    <t>• The Abu Dhabi government announced provision of loans to SMEs. 
• Dubai government injected $ 3 bn equity into the Emirates airlines.</t>
  </si>
  <si>
    <r>
      <rPr>
        <b/>
        <sz val="10"/>
        <color indexed="8"/>
        <rFont val="Arial"/>
        <family val="2"/>
      </rPr>
      <t>Additional spending:</t>
    </r>
    <r>
      <rPr>
        <sz val="10"/>
        <color theme="1"/>
        <rFont val="Arial"/>
        <family val="2"/>
      </rPr>
      <t xml:space="preserve"> Healthcare infrastructure, equipment, medical supplies and vaccines.</t>
    </r>
  </si>
  <si>
    <r>
      <rPr>
        <b/>
        <sz val="10"/>
        <color indexed="8"/>
        <rFont val="Arial"/>
        <family val="2"/>
      </rPr>
      <t>Additional spending:</t>
    </r>
    <r>
      <rPr>
        <sz val="10"/>
        <color theme="1"/>
        <rFont val="Arial"/>
        <family val="2"/>
      </rPr>
      <t xml:space="preserve"> wage increase for health worker and security forces, cash transfers and food assistance program for the most vulnerable, elderly care program, emergency funding for SME, electricity subsidy and wage subsidy for formal sector employees.</t>
    </r>
  </si>
  <si>
    <r>
      <t>Additional spending (€9.6 bn):</t>
    </r>
    <r>
      <rPr>
        <sz val="10"/>
        <color theme="1"/>
        <rFont val="Arial"/>
        <family val="2"/>
      </rPr>
      <t xml:space="preserve"> on medical equipment, tests, contact tracing, administration, etc. Measures also include advance payments to hospitals (2bn allocated based on Covid-related cost pressures and revenue losses) as well as a structural increase in the budget for mental health care (200mn annually; for 2020 prorated from Sept) and the federal health sector (wage increases and improvement in working conditions; 350mn in 2021, 600mn thereafter). An additional, one-off 200mn was allocated to federal health workers in 2020. Additional spending on vaccine rollout.</t>
    </r>
  </si>
  <si>
    <r>
      <rPr>
        <b/>
        <sz val="10"/>
        <color theme="1"/>
        <rFont val="Arial"/>
        <family val="2"/>
      </rPr>
      <t xml:space="preserve">Deferred revenue (€12.9 bn): 
</t>
    </r>
    <r>
      <rPr>
        <sz val="10"/>
        <color theme="1"/>
        <rFont val="Arial"/>
        <family val="2"/>
      </rPr>
      <t>• Deferred payment of tax and social security contributions for affected firms, self-employed, and households, without application of interest charges and penalties, estimated at about 10 billion euros, and deferral of advance VAT payment in December 2020. Additional deferral of SSC payments due in Q4 for firms affected by the second lockdown.</t>
    </r>
  </si>
  <si>
    <t>· 10 percent wage increase for public healthcare sector (RSD 13bn, about RSD 17bn estimated in 2021)
· Increased healthcare spending (about RSD 60bn ) in 2020.                                                                                                                                                                   · Increased healthcare spending (about RSD 36bn ) in 2021.</t>
  </si>
  <si>
    <r>
      <rPr>
        <b/>
        <sz val="10"/>
        <rFont val="Arial"/>
        <family val="2"/>
      </rPr>
      <t>Additional spending:</t>
    </r>
    <r>
      <rPr>
        <sz val="10"/>
        <rFont val="Arial"/>
        <family val="2"/>
      </rPr>
      <t xml:space="preserve"> 
Measures announced in 2020 include:                                                                                                                                                                                                 Wage subsidies (RSD 93bn):
(i) Payment of 3 minimum wages for all employees in SMEs and entrepreneurs (about 900,000 employees)
(ii) Payment of 50 perfect of minimum wages to large companies for employees who are not working
One-off payment to all pensioners (RSD 7bn)
New loans to SMEs from the Development Fund (RSD 24bn)
Universal cash transfer of EUR 100 to each citizen over 18 years old (about RSD 71bn)
Support to 14,000 most vulnerable women in 50 municipalities across Serbia (worth RSD 12bn) in hygiene packages and essential foods                                                          One-off fiscal support to help hotels in cities, through a fixed subsidy per room and per bed, with an estimated cost of RSD 1.3 billion.
                                                                                                                             Measures announced in 2021 include:                                                                                                                                                                                                                   Three additional months of wage subsidies (RSD 73bn)
Additional payments for employees in travel and hospitality
EUR 30 universal cash transfers to all adult citizens, paid in May and November (RSD 43bn)
Pension bonus (RSD 8.5bn)
Support for the transport sector and for city hotels (RSD 3bn)
One-off financial assistance to all the (registered) unemployed, of EUR 60, to be paid in June.                                                                                                              A one-off payment to vaccinated citizens.</t>
    </r>
  </si>
  <si>
    <t>Tax and SSC deferments (RSD 121bn or 2.2 percent of GDP), to be repaid in 24 installments starting from February 2021: (i) Deferment of labor taxes and SS contributions for all private companies for three months, with no interests to be applied; (ii) Deferment of Q2 CIT payments; and (iii) Grants and donations exempt from paying VAT.
Deferment of labor taxes and social security contributions for all private companies extended for an additional month (RSD 30 billion).</t>
  </si>
  <si>
    <r>
      <rPr>
        <b/>
        <sz val="10"/>
        <rFont val="Arial"/>
        <family val="2"/>
      </rPr>
      <t>Additional spending (97 bn):</t>
    </r>
    <r>
      <rPr>
        <sz val="10"/>
        <rFont val="Arial"/>
        <family val="2"/>
      </rPr>
      <t xml:space="preserve"> Enhance treatment and testing capacity through procuring medical supplies, improve prevention, intensify communication, conduct a wide vaccination campaign.
</t>
    </r>
    <r>
      <rPr>
        <b/>
        <sz val="10"/>
        <rFont val="Arial"/>
        <family val="2"/>
      </rPr>
      <t>Forgone revenue (3 bn)</t>
    </r>
    <r>
      <rPr>
        <sz val="10"/>
        <rFont val="Arial"/>
        <family val="2"/>
      </rPr>
      <t>: Exoneration of import tax/duties for health related imports.</t>
    </r>
  </si>
  <si>
    <r>
      <rPr>
        <b/>
        <sz val="10"/>
        <rFont val="Arial"/>
        <family val="2"/>
      </rPr>
      <t>Additional spending (544 bn)</t>
    </r>
    <r>
      <rPr>
        <sz val="10"/>
        <rFont val="Arial"/>
        <family val="2"/>
      </rPr>
      <t xml:space="preserve">: (i) social safety net programs: urgent food aid, subsidies to help the most vulnerable to pay utility bills (water, electricity) and support to diaspora (CFAF 97 bn - 0.68% of GDP), (ii) other economic support measures, such as direct support to heavily hit sectors (CFAF 100 bn - 0.68% of GDP), (iii) some arrears to private sector suppliers will be settled faster than originally anticipated (CFAF 200 billion - 1.40% of GDP), and (iv) action on securing key food and energy supplies (CFAF 34 billion - 0.24%  of GDP).
</t>
    </r>
    <r>
      <rPr>
        <b/>
        <sz val="10"/>
        <rFont val="Arial"/>
        <family val="2"/>
      </rPr>
      <t>Forgone revenue (70 bn)</t>
    </r>
    <r>
      <rPr>
        <sz val="10"/>
        <rFont val="Arial"/>
        <family val="2"/>
      </rPr>
      <t>: Tax rebates for companies that keep their workers on payroll or pay 70% of salary (FCFA 40 billion - 0.28% of GDP). Import VAT suspension for 24 months. Accelerated domestic VAT refunds.</t>
    </r>
  </si>
  <si>
    <t xml:space="preserve">Additional spending on medicines, quarantines, treatment, and hospital facilities. Salary supplement for medical employees (6 percent of wage for the time engaged in anti-COVID-19 measures). </t>
  </si>
  <si>
    <r>
      <rPr>
        <b/>
        <sz val="10"/>
        <color theme="1"/>
        <rFont val="Arial"/>
        <family val="2"/>
      </rPr>
      <t xml:space="preserve">Additional spending (22,700 bn):
</t>
    </r>
    <r>
      <rPr>
        <sz val="10"/>
        <color theme="1"/>
        <rFont val="Arial"/>
        <family val="2"/>
      </rPr>
      <t xml:space="preserve">· Doubled the number of households receiving social benefits; 
· Raised spending to cover the average salary for worker taking care of their children during the quarantine period. 
· Increased spending to cover leave payments of employees of age 60+ with chronic illnesses (that must stay at home during quarantine period).
· Provided assistance to affected businesses via revolving facilities, debt service deferrals at subsidized interest.
· Increased spending for public works to support infrastructure in the regions and support employment.                                                                                                  · Increased lending to individual entrepreneurs and state enterprises.  </t>
    </r>
    <r>
      <rPr>
        <b/>
        <sz val="10"/>
        <color theme="1"/>
        <rFont val="Arial"/>
        <family val="2"/>
      </rPr>
      <t xml:space="preserve">
Forgone revenue (4,350 bn):
</t>
    </r>
    <r>
      <rPr>
        <sz val="10"/>
        <color theme="1"/>
        <rFont val="Arial"/>
        <family val="2"/>
      </rPr>
      <t>· Reduction of minimum payment of social tax for individual entrepreneurs (a single tax for small businesses) from UZS 223,000 to UZS 111,500 per month during Apr-Oct 2020: (central government). Reduced tax rate for usage of water resources for farmland by 50 percent: (central government); Temporary suspension of tourism tax: (central government); Extended a moratorium on tax audits: (central government)
· Moratorium on tourism and hotels from paying property and land tax and social tax rate is reduced from 12 to 1 percent (central government). SMEs whose revenue drops significantly can defer payments of turnover tax, land tax, property tax, social and water use tax.
·Exemption of income tax for self employees.</t>
    </r>
  </si>
  <si>
    <r>
      <rPr>
        <b/>
        <sz val="10"/>
        <rFont val="Arial"/>
        <family val="2"/>
      </rPr>
      <t xml:space="preserve">Additional spending (RUB 3.64 tn):  </t>
    </r>
    <r>
      <rPr>
        <sz val="10"/>
        <rFont val="Arial"/>
        <family val="2"/>
      </rPr>
      <t xml:space="preserve">
• Quarantined or self-isolating individuals to receive sick leave benefits from the Social Insurance Fund.
·Sick leave benefits for the quarantined or self-isolating individuals and increases in unemployment and child benefits 
• Interest rate subsidies for affected companies to finance minimum wages.
• Interest rate subsidies for systemically important companies, conditional on employment keeping above 90 percent, to support working capital.
• Support for large companies (construction, car-makers, air transportation, light industry).
• Credit to affected sectors to protect employment with partial/full asset write-offs if employment is kept above 80%.
• Grants for SMEs in affected industries to cover salaries and disinfection/COVID-19 prevention measures.
• Support to airlines (RUB 23 bn) (subsidies), airports (RUR 11 billion) (subsidies) and car-K60makers (RUB 25 bn) (state procurement and interest rate subsidies).
• Federal transfers to regions.
• Construction sector support, including subsidized rates for a new mortgage program (costed at RUB 6 bn).
• Expected expenditure measures in 2021:  1721 billion : 851 billion to the corporate sector (employment retention programs- 477 billion, and industry specific support and development programs-373 billion) and 100 billion to local governments; 270 billion of extra social spending announced in the President State of Nation Address (another RUB10 thousand one-off benefit to all schoolchildren, 170 billion; 500 billion of RUB10 thousand one-off benefit to all pensioners and RUB15 thousand one-off benefit to all military and law-enforcement personnel.
</t>
    </r>
    <r>
      <rPr>
        <b/>
        <sz val="10"/>
        <rFont val="Arial"/>
        <family val="2"/>
      </rPr>
      <t xml:space="preserve">Forgone revenue (RUB 939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t>
    </r>
  </si>
  <si>
    <t>• RUB 67 billion for restructuring regional debt to the federal government.
• RUB 500 billion for recapitalization of leasing firms due to potential problems of their clients in the transportation sector; VEB recapitalization to support new investment projects;
Sberbank recapitalization</t>
  </si>
  <si>
    <r>
      <rPr>
        <b/>
        <sz val="10"/>
        <color theme="1"/>
        <rFont val="Arial"/>
        <family val="2"/>
      </rPr>
      <t xml:space="preserve">Additional spending (SAR 54 bn): </t>
    </r>
    <r>
      <rPr>
        <sz val="10"/>
        <color theme="1"/>
        <rFont val="Arial"/>
        <family val="2"/>
      </rPr>
      <t>Budget reallocation within the Ministry of Health budget or a reallocation from other parts of the budget for emergency spending to fight COVID-19.</t>
    </r>
  </si>
  <si>
    <r>
      <rPr>
        <b/>
        <sz val="10"/>
        <color theme="1"/>
        <rFont val="Arial"/>
        <family val="2"/>
      </rPr>
      <t xml:space="preserve">Additional spending (SAR 9.6 bn): 
</t>
    </r>
    <r>
      <rPr>
        <sz val="10"/>
        <color theme="1"/>
        <rFont val="Arial"/>
        <family val="2"/>
      </rPr>
      <t xml:space="preserve">• Wage benefits to employers who keep their workers to be provided through the unemployment insurance scheme, SANED (SAR 8 bn). This wage benefits have been extended. 
• Ministry of Energy announced temporary electricity subsidies to commercial, industrial, and agricultural sectors (SAR 0.9 bn).
• The Ministry of Finance program to help businesses defer loan payment due this year (SAR 0.67 bn). 
</t>
    </r>
    <r>
      <rPr>
        <b/>
        <sz val="10"/>
        <color theme="1"/>
        <rFont val="Arial"/>
        <family val="2"/>
      </rPr>
      <t>Forgeone revenue (SAR 4 bn)</t>
    </r>
    <r>
      <rPr>
        <sz val="10"/>
        <color theme="1"/>
        <rFont val="Arial"/>
        <family val="2"/>
      </rPr>
      <t xml:space="preserve">
* Expat levy exemption</t>
    </r>
  </si>
  <si>
    <r>
      <rPr>
        <b/>
        <sz val="10"/>
        <color theme="1"/>
        <rFont val="Arial"/>
        <family val="2"/>
      </rPr>
      <t>Accelerated spending (SAR 4 bn)
Deferred revenue (SAR 38.5 bn)</t>
    </r>
    <r>
      <rPr>
        <sz val="10"/>
        <color theme="1"/>
        <rFont val="Arial"/>
        <family val="2"/>
      </rPr>
      <t>: Deferred declaration &amp; payment of taxes for 3 months, waiver of customs duties (30 days to 3 months), waiver of expat fees for 3 months; and  waiver of municipal fees on companies for 3 months.</t>
    </r>
  </si>
  <si>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
Saudi Industrial Development Fund (SIDF) support to 536 private sector industrial enterprises impacted by the coronavirus pandemic SAR 3.7 billion</t>
  </si>
  <si>
    <r>
      <rPr>
        <b/>
        <sz val="10"/>
        <color theme="1"/>
        <rFont val="Arial"/>
        <family val="2"/>
      </rPr>
      <t>Additional spending (CAD 61.2 bn):</t>
    </r>
    <r>
      <rPr>
        <sz val="10"/>
        <color theme="1"/>
        <rFont val="Arial"/>
        <family val="2"/>
      </rPr>
      <t xml:space="preserve"> Support to the health system including
Safe Restart Agreement, Safe Return to Class, Vaccines and Therapeutics, PPE and Medical Equipment, Long-Term Care, Helping Health Care Systems Recover, Canada’s COVID-19 Immunization Plan, Supporting the Mental Health of Those Most Affected by COVID-19, Supporting Indigenous Communities in the Fight Against COVID-19, Safe Return to School on Reserve, International COVID-19 Response and Recovery, Enhanced Border and Quarantine Measures, and Other Public Health Support</t>
    </r>
  </si>
  <si>
    <r>
      <rPr>
        <b/>
        <sz val="10"/>
        <color theme="1"/>
        <rFont val="Arial"/>
        <family val="2"/>
      </rPr>
      <t>Deferred revenue (CAD 85.1 bn)</t>
    </r>
    <r>
      <rPr>
        <sz val="10"/>
        <color theme="1"/>
        <rFont val="Arial"/>
        <family val="2"/>
      </rPr>
      <t>: Income Tax Payment Deferral until September 30, 2020 ($55 billion); Sales Tax Remittance and Customs Duty Payments Deferral ($30 billion); and Supporting Jobs and Safe Operations of Junior Mining Companies ($50 million)</t>
    </r>
  </si>
  <si>
    <t>• Supporting Farm Credit Canada by allowing an additional $5.2 billion in lending capacity to producers, agribusinesses, and food processors. This is a capital injection.</t>
  </si>
  <si>
    <r>
      <rPr>
        <b/>
        <sz val="10"/>
        <color theme="1"/>
        <rFont val="Arial"/>
        <family val="2"/>
      </rPr>
      <t xml:space="preserve">Additional spending (€427.8 bn): </t>
    </r>
    <r>
      <rPr>
        <sz val="10"/>
        <color theme="1"/>
        <rFont val="Arial"/>
        <family val="2"/>
      </rPr>
      <t xml:space="preserve">
• In April 2020, the European Commission announced that the size of the Corona Response Investment Initiative will be raised to €37 bn, which includes an upfront cash injection of €8 bn from the EU cohesion funds, to support public investment for hospitals, labor markets, and stressed regions. The Commission extended the scope of the EU Solidarity Fund by also including a public health crisis within its scope, in view of mobilizing it if needed for the hardest hit EU member states. The Coronavirus Response Investment Initiative Plus (CRII+) introduced greater flexibility to allow that all non-utilized support from the European cohesion funds can be mobilized to the fullest. This flexibility is provided for through: transfer possibilities across the three cohesion policy funds (the European Regional Development Fund, European Social Fund and Cohesion Fund); transfers between the different categories of regions; flexibility when it comes to thematic concentration; and a 100% EU co-financing rate for cohesion policy programs for the accounting year 2020-2021, allowing Member States to benefit for full EU financing for crisis-related measures.
•On December 11, EU leaders agreed on the Next Generation EU (NGEU) recovery package, which includes €390 bn in grants to EU members. The main instrument is the Recovery and Resilience Facility (RRF), which will fund member countries’ investments and reforms. The NGEU’s grant element comprises: €312.5 bn is from the RRF and will be committed in 2021–2023 (70 percent for 2021 and 2022 and 30 percent for 2023); €47.5 bn to top up cohesion funds (ReactEU) that can be used for investments and expenditures related to the crisis (e.g., investing in active labor market policies, short-time work schemes); €10 bn to top up to the Just Transition Fund to help regions/workers dependent on carbon intensive industries transition away from those industries; R&amp;D (€5 bn); support for private sector investment (€5.6 bn), rural development (€7.5 bn), and rescEU (€1.9 bn).
• As of early June, 2021, 24 EU countries had submitted national Recovery and Resilience Plans (RRPs). These are being assessed by the European Commission. The EC has raised 45 billion euros in bond issuance by end-July which will help finance pre-financing portion in 2021 (13% of total loans and grants, which amounts to 491 billion euros as of August).</t>
    </r>
  </si>
  <si>
    <t>On April 9 2020, the euro area finance ministers (Eurogroup) agreed on establishing safety nets for workers, businesses and sovereigns, amounting to a package of which €340 bn were below-the-line measures:
•A new and temporary EU unemployment reinsurance fund (SURE) will provide up to €100 bn in loans on favorable terms to governments, in support of national unemployment, short-time work schemes, and health-related measures. Loans will be guaranteed by the EU budget and EU member states. The instrument will then be operational until 31 December 2022.
•The ESM will provide Pandemic Crisis Support to its members to finance crisis-related health spending of up to 2 percent of a requesting member’s 2019 GDP. Should all 19 countries draw from the credit line, this would amount to around €240 bn.The loans from the ESM are meant to finance direct and indirect health-related spending in response to the Covid-19 crisis.
On July 21, the European Council approved the Next Generation EU recovery fund. Part of this is EUR 360 billion in loans available from the Recovery and Resilience Facility (RRF) that EU members can apply for to finance parts of their national recovery and resilience plans.</t>
  </si>
  <si>
    <r>
      <rPr>
        <b/>
        <sz val="10"/>
        <color theme="1"/>
        <rFont val="Arial"/>
        <family val="2"/>
      </rPr>
      <t>Additional spending (€33.9 bn): 
•</t>
    </r>
    <r>
      <rPr>
        <sz val="10"/>
        <color theme="1"/>
        <rFont val="Arial"/>
        <family val="2"/>
      </rPr>
      <t xml:space="preserve"> Support for streamlining and boosting health insurance (paid sick leave) for the sick or their caregivers, higher spending on health supplies; bonuses for health workers.
• Additional investment and equipment in the health sector announced in the recovery plan for 2021 and beyond.</t>
    </r>
  </si>
  <si>
    <r>
      <rPr>
        <b/>
        <sz val="10"/>
        <rFont val="Arial"/>
        <family val="2"/>
      </rPr>
      <t>Additional spending (€155.4 bn):</t>
    </r>
    <r>
      <rPr>
        <sz val="10"/>
        <rFont val="Arial"/>
        <family val="2"/>
      </rPr>
      <t xml:space="preserve">  Support for wages of workers under the subsidized short-time work scheme; direct financial support for affected small and very small enterprises (and regardless of size for heavily affected firms in December 2020), liberal professions, and independent workers; direct transfers for low-income families; extension of expiring unemployment and other benefits; additional transfers for self-employed; additional spending in social programs; incentives to purchase greener vehicles; subsidies for green investment for the auto and aerospace sectors.
</t>
    </r>
    <r>
      <rPr>
        <b/>
        <sz val="10"/>
        <rFont val="Arial"/>
        <family val="2"/>
      </rPr>
      <t>Foregone revenue (€32.6 bn):</t>
    </r>
    <r>
      <rPr>
        <sz val="10"/>
        <rFont val="Arial"/>
        <family val="2"/>
      </rPr>
      <t xml:space="preserve"> Exoneration of social security contributions for affected firms in selected sectors; carry back for corporate income taxes; permanent cuts in production taxes (recovery plan) for 2021 onward. (The amount reported for forgone revenue includes the equivalent cuts in production taxes for 2 years) </t>
    </r>
  </si>
  <si>
    <r>
      <rPr>
        <b/>
        <sz val="10"/>
        <color theme="1"/>
        <rFont val="Arial"/>
        <family val="2"/>
      </rPr>
      <t>Additional spending (€346 bn):</t>
    </r>
    <r>
      <rPr>
        <sz val="10"/>
        <color theme="1"/>
        <rFont val="Arial"/>
        <family val="2"/>
      </rPr>
      <t xml:space="preserve"> including grants to hard hit small businesses and self-employed, increased access to childcare and basic social security benefits, temporary relief to affected tenants, income support for families, and incentivizing green and digital investment. There is also support to firms and households provided through the “Kurzabeit” program, part of which is considered discretionary because the program parameters have been changed.
</t>
    </r>
    <r>
      <rPr>
        <b/>
        <sz val="10"/>
        <color theme="1"/>
        <rFont val="Arial"/>
        <family val="2"/>
      </rPr>
      <t xml:space="preserve">Forgone revenue (€109 bn): </t>
    </r>
    <r>
      <rPr>
        <sz val="10"/>
        <color theme="1"/>
        <rFont val="Arial"/>
        <family val="2"/>
      </rPr>
      <t>a temporary VAT reduction (the general VAT cut was expired at end-2020, but special VAT cuts for restaurants and food services remain in place), corporate tax reliefs, personal income tax reliefs, and social security contribution reduction.</t>
    </r>
  </si>
  <si>
    <r>
      <rPr>
        <b/>
        <sz val="10"/>
        <color theme="1"/>
        <rFont val="Arial"/>
        <family val="2"/>
      </rPr>
      <t xml:space="preserve">Additional spending ($4263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$437 bn unemployment insurance and $350 bn in emergency appropriations, and $349 bn forgivable small business loans and other items. Estimated increase in spending from this Act is $1512bn.
• Paycheck Protection Program and Health Care Enhancement Act (April 23, 2020) includes $62.1 bn for the Small Business Administration's loans programs and other expense, and $321 bn for the Paycheck Protection Program and small business assistance (of the $310 for the Paycheck Protection Program only $176bn was used).
• The federal government (through an Executive Order by President Trump on August 8, 2020) reallocated $44 billion from the Department of Homeland Security's Disaster Relief Fund to provide extra unemployment benefits of $300 dollar per week following the expiration of the enhanced unemployment benefits mad available by the CARES act. Of the $44 billion, it is estimated that $18 billion is pre-COVID-19 appropriated funds (and therefore represents additional COVID-19 expenditure)
• Consolidated Appropriation Act (Dec.21, 2020) includes $329bn support to households, $347bn support for businesses, $92bn for education and childcare, and support for other areas. The total estimated cost is $796.9bn.
• American Rescue Plan (Mar.12, 2021) includes $794.2bn support to households, $86.4bn support for business, $362.1bn support for state, local and triable governments, $171bn support for education, $38.9bn support for providing childcare, and other spending in areas including transportation, federal emergency management authority, international response and others. The total estimated cost is $1646.4bn. 
Forgone revenue ($378 bn): 
• Coronavirus Aid, Relief, and Economic Security Act (March 27, 2020) includes tax rebates: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$288 bn.
•Families First Coronavirus Response Act (March 16, 2020) has revenue implications on the budget, estimated to cost around $94 bn.
•Consolidated Appropriation Act (Dec.21, 2021) provides an extension of the employee retention tax credit and also expands the usage of the earned income tax credit and child tax credit. The estimated revenue loss is $5bn.
• American Rescue Plan (Mar.12, 2020) will lead to revenue changes due to the provision of the recovery rebates, child tax credit, earned income tax credit, dependent care assistance, credit for paid sick and family leave, employee retention credit and supporting pension plans. The estimated revenue change is $10bn. Please note that the support of pension plans is estimated to introduce revenue gains, which outweighs revenue losses from other measures.
</t>
    </r>
  </si>
  <si>
    <r>
      <t xml:space="preserve">Additional spending: </t>
    </r>
    <r>
      <rPr>
        <sz val="10"/>
        <color theme="1"/>
        <rFont val="Arial"/>
        <family val="2"/>
      </rPr>
      <t>Healthcare goods and services; testing and treatment; purchase of vaccines; purchase of COVID-19-related health equipment.</t>
    </r>
  </si>
  <si>
    <r>
      <rPr>
        <b/>
        <sz val="10"/>
        <color theme="1"/>
        <rFont val="Arial"/>
        <family val="2"/>
      </rPr>
      <t>Additional spending</t>
    </r>
    <r>
      <rPr>
        <sz val="10"/>
        <color theme="1"/>
        <rFont val="Arial"/>
        <family val="2"/>
      </rPr>
      <t xml:space="preserve">: The interventions are targeted at relieving hard-hit SMEs and households through a combination of improved access to affordable credit, subsidies, fee exemptions, improved payment terms on government contracts and additional waivers and rebates initially planned for 3 months. A dedicated task force has been established to ensure smooth and uninterrupted supply of consumer goods.
</t>
    </r>
    <r>
      <rPr>
        <b/>
        <sz val="10"/>
        <color theme="1"/>
        <rFont val="Arial"/>
        <family val="2"/>
      </rPr>
      <t xml:space="preserve">
Forgone revenue: </t>
    </r>
    <r>
      <rPr>
        <sz val="10"/>
        <color theme="1"/>
        <rFont val="Arial"/>
        <family val="2"/>
      </rPr>
      <t>Suspension or reduction of various government fees, labor charges, and penalties for the business sector; reduction of lease payments in government-owned premises and malls; cancelling certain fines imposed by the government and the customs department and tax reimbursements to hotels and restaurants.</t>
    </r>
  </si>
  <si>
    <r>
      <rPr>
        <b/>
        <sz val="10"/>
        <color theme="1"/>
        <rFont val="Arial"/>
        <family val="2"/>
      </rPr>
      <t>Additional spending (498 bn):</t>
    </r>
    <r>
      <rPr>
        <sz val="10"/>
        <color theme="1"/>
        <rFont val="Arial"/>
        <family val="2"/>
      </rPr>
      <t xml:space="preserve"> Cash aid to low-income households and social protection measures for vulnerable workers. Subsidies to rice farmers and wages for small businesses. Retraining of displaced workers. Support for loan and interest repayments.
</t>
    </r>
    <r>
      <rPr>
        <b/>
        <sz val="10"/>
        <color theme="1"/>
        <rFont val="Arial"/>
        <family val="2"/>
      </rPr>
      <t>Forgone revenue (138 bn)</t>
    </r>
    <r>
      <rPr>
        <sz val="10"/>
        <color theme="1"/>
        <rFont val="Arial"/>
        <family val="2"/>
      </rPr>
      <t xml:space="preserve">: Corporate income tax rate reduction. </t>
    </r>
  </si>
  <si>
    <r>
      <rPr>
        <sz val="10"/>
        <color theme="1"/>
        <rFont val="Symbol"/>
        <family val="1"/>
        <charset val="2"/>
      </rPr>
      <t>·</t>
    </r>
    <r>
      <rPr>
        <sz val="10"/>
        <color theme="1"/>
        <rFont val="Arial"/>
        <family val="2"/>
      </rPr>
      <t xml:space="preserve"> Equity injection to support loan programs for SMEs.</t>
    </r>
  </si>
  <si>
    <t>• Credit guarantees for small businesses.</t>
  </si>
  <si>
    <t xml:space="preserve">• Special loan package for affected micro entrepreneurs and MSMEs. </t>
  </si>
  <si>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agricultural sector support, and support to FDI operations via facilitation of logistics in export and import process. For FY2019/20, the authorities indicated that the COVID-19 related spending (including health and non-health sector) was 52.4 billion birr. For FY2020/21, the authorities have allocated about 30 billion birr for COVID-19 related spending.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</si>
  <si>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r>
      <t xml:space="preserve">Additional spending: 
</t>
    </r>
    <r>
      <rPr>
        <sz val="10"/>
        <rFont val="Arial"/>
        <family val="2"/>
      </rPr>
      <t>• Purchases of medical equipment, vaccine, tests, etc. (CZK 29.9bn).
• The government approved higher premium payments on state-covered health insurance--increase by CZK500 per person as of June 2020 (CZK 20.9bn) and by CZK200 per person since January 2021 (CZK50.9bn).
• Debt relief of hospitals (CZK 6.6bn). 
• Bonus for workers in social services, hospitals, emergency responders, hygienically stations (CZK 35.8 bn).
• Other health measures: (mobile collection teams, Smart Quarantine establishment, anti-covid programmes for technological firms) (CZK 1.7bn).</t>
    </r>
    <r>
      <rPr>
        <b/>
        <sz val="10"/>
        <rFont val="Arial"/>
        <family val="2"/>
      </rPr>
      <t xml:space="preserve">
Forgone revenue:
</t>
    </r>
    <r>
      <rPr>
        <sz val="10"/>
        <rFont val="Arial"/>
        <family val="2"/>
      </rPr>
      <t xml:space="preserve">• Remission of VAT on purchase of the vaccine, tests, respirators (CZK 2.6bn) </t>
    </r>
  </si>
  <si>
    <t>• COVID III Program (Guarantees will cover up to 30% of loan principal. The state will issue 80-90% of the guarantees (total amount of CZK 150bn). Estimates of the amount of guarantees offered will allow SMEs to access loans amounting to CZK500bn. 
• COVID II Program of state guarantees in total amount of CZK 20bn (loans up to CZK 15 million, state contribution on interest costs up to CZK 1 million, state guarantee up to 80% of loan, 3-year maturity)
• COVID Plus Program of state guarantees provided by Export Guarantee and Insurance Corporation in the amount of CZK 330bn.
• COVID Prague Program (CZK 1.6bn).
• COVID Sport Guarantee Program (CZK 4bn).
• COVID Travel Agency Guarantee Program (CZK 0.3bn)
• Other guarantees (National guarantee, Expansion guarantee) (CZK 24.5bn).</t>
  </si>
  <si>
    <r>
      <t xml:space="preserve">Additional spending: 
</t>
    </r>
    <r>
      <rPr>
        <sz val="10"/>
        <rFont val="Arial"/>
        <family val="2"/>
      </rPr>
      <t xml:space="preserve">• Payments for employment support: Employees affected during the shutdown due to government measures will receive full wages of which the government covered 80 percent up to CZK 39,000/month (since October the government has covered 100% up to CZK 50,000/month in case of business shutdown due to government measures). Staff in businesses affected receive 60-100% of gross wages with a state contribution of 60% of total labor costs per employee (up to CZK 29,000/month) (CZK 49.2bn).
• Care Allowance to parents, who cannot work because they need to care for children up to 13 years, of 80% of eligible income until end of June 2020 (calculated based on a progressive table) for sick leave. During the other waves of COVID, care allowance to parents with children up to 10 years, 70% of eligible income - since March 2021 80% of eligible income (in total CZK 13.2bn). 
• Care Allowance to self-employed persons (CZK 434 per day in March 2020, CZK 500 per day since April), who cannot work because they need to care for children up to 13 years. During the other waves of COVID for parents with children up to 10 years, CZK 400 per day (CZK 3.1bn)
• The state covers half of business property rents in Q2-Q4 2020 (CZK 9.9bn).
• Programs in support of the sports, culture, tourism, transport, restaurants, agriculture and other closed sectors (CZK 45.7bn).
• One-off cash benefit for pensioners in amount of CZK 5000 (CZK 15.0bn).
• Loss carryback measure: Taxpayers who report tax losses in 2020 due to the state of emergency, will be able to reduce their tax bases for the tax years 2019 and 2018 by this loss (maximum CZK 30 million) (CZK 4.3bn).
• Self-employed receive lump sum of CZK 500 per day during Mar 12 and Jun 8 (CZK 20.2bn), additional lump-sum assistance grant (CZK 500 per day) to small business (Ltd) during Mar 12 and Jun 8 (CZK 1.7bn) and additional lump-sum assistance grant (CZK 350 per day) to contractors (CZK 0.1bn). The subjects in affected sectors received identical lump-sum during  Oct 5 2020 and Feb 15 2021 (CZK 7.6bn) and lump-sum of CZK 1000 per day during Feb 1 and May 31 2021 (CZK 14bn)
• Other expenditure (CZK 9.6bn).
</t>
    </r>
    <r>
      <rPr>
        <b/>
        <sz val="10"/>
        <rFont val="Arial"/>
        <family val="2"/>
      </rPr>
      <t xml:space="preserve">Forgone Revenue: 
</t>
    </r>
    <r>
      <rPr>
        <sz val="10"/>
        <rFont val="Arial"/>
        <family val="2"/>
      </rPr>
      <t>• The effective reduction in the personal income taxation and increase in the basic rebate for taxpayers (in total CZK 99.1bn).
•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(CZK 13.3bn).
• Introduction of extraordinary allowance at CZK 370 per day for employees who have been ordered to quarantine (CZK 1.1bn).
• Reduced VAT rate to 10% for accommodation, sports and culture services (CZK 2.6bn).
• Reduced road tax rate for vehicles above 3.5t (CZK 2bn) and decrease in excise tax on diesel oil (CZK 5.6bn).
• Abolition of the real property acquisition tax (CZK 27.6bn).
• Lower dividends from Airport Prague (CZK 1.5bn).
• Introduction of extraordinary accelerated depreciation on assets (in the 1st and 2nd depreciation classes), acquired in 2020 and 2021 (CZK 25bn); increase in the limit for the depreciation of tangible fixed assets and other measures (CZK 3.7bn).</t>
    </r>
  </si>
  <si>
    <r>
      <t xml:space="preserve">Deferred revenue: 
</t>
    </r>
    <r>
      <rPr>
        <sz val="10"/>
        <rFont val="Arial"/>
        <family val="2"/>
      </rPr>
      <t>• Postponement of advance payments on social security and health insurance contributions for self-employed by 6 months (CZK 14.3bn)</t>
    </r>
  </si>
  <si>
    <t>Government loans:
• The CMZRB provided CZK 0.9bn through interest-free loans, the rest will be handled through state guarantees on loans of commercial banks (COVID I Programme).</t>
  </si>
  <si>
    <r>
      <t xml:space="preserve">Additional spending (1.6 bn): </t>
    </r>
    <r>
      <rPr>
        <sz val="10"/>
        <color theme="1"/>
        <rFont val="Arial"/>
        <family val="2"/>
      </rPr>
      <t xml:space="preserve">Includes support to households and businesses. For households: compensation for private sector employees who lose jobs; direct transfers to vulnerable families and people with severe disabilities; direct transfers to families with children; university tuition fee subsidies; subsidies to households for utilities (electricity and water) bills and tariff hikes. For businesses: electricity subsidies for food producers; other subsidies to food producers (e.g., flour); interest rate subsidies on mortgages (construction sector); interest rate subsidies and other financial support to targeted sectors (e.g. small hotels and agriculture); and microgrants.                                                                                               </t>
    </r>
    <r>
      <rPr>
        <b/>
        <sz val="10"/>
        <color theme="1"/>
        <rFont val="Arial"/>
        <family val="2"/>
      </rPr>
      <t xml:space="preserve">
                                                                                                                                                                                                                                                  Forgone revenue (0.63 bn): </t>
    </r>
    <r>
      <rPr>
        <sz val="10"/>
        <color theme="1"/>
        <rFont val="Arial"/>
        <family val="2"/>
      </rPr>
      <t>Income tax exemption for businesses that retain workers; property tax exemption for the tourism sector.</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</si>
  <si>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Extension of customs clearance term for vehicles imported before April 2020 (until September 2020).</t>
    </r>
  </si>
  <si>
    <r>
      <rPr>
        <b/>
        <sz val="10"/>
        <rFont val="Arial"/>
        <family val="2"/>
      </rPr>
      <t xml:space="preserve">Accelerated spending:
</t>
    </r>
    <r>
      <rPr>
        <sz val="10"/>
        <rFont val="Arial"/>
        <family val="2"/>
      </rPr>
      <t>• Frontloaded social pension payments for the elderly and people with special needs.
• Procurement processes and VAT refunds are to be accelerated.</t>
    </r>
  </si>
  <si>
    <r>
      <rPr>
        <b/>
        <sz val="10"/>
        <color theme="1"/>
        <rFont val="Arial"/>
        <family val="2"/>
      </rPr>
      <t>Additional spending (IDR 276 tn):</t>
    </r>
    <r>
      <rPr>
        <sz val="10"/>
        <color theme="1"/>
        <rFont val="Arial"/>
        <family val="2"/>
      </rPr>
      <t xml:space="preserve">
• Several fiscal packages have been announced by the government amounting to IDR 314.5 tn for the years 2020 and 2021. 
.• For 2020 Economic recovery program (PEN), health budget is around  IDR 100 tn. 
• 2021 PEN budget for 2021 stands at IDR 215 tn as of September 14, 2021.</t>
    </r>
  </si>
  <si>
    <r>
      <rPr>
        <b/>
        <sz val="10"/>
        <color theme="1"/>
        <rFont val="Arial"/>
        <family val="2"/>
      </rPr>
      <t>Additional spending (IDR 942.1 tn):</t>
    </r>
    <r>
      <rPr>
        <sz val="10"/>
        <color theme="1"/>
        <rFont val="Arial"/>
        <family val="2"/>
      </rPr>
      <t xml:space="preserve">
•The approved budget for 2020 is IDR 475.1 tn including social protection, cash transfer etc
•The approved budget for 2021 is IDR 467.0 tn . Several revisions have been announced by the government but details remain to be known.
</t>
    </r>
    <r>
      <rPr>
        <b/>
        <sz val="10"/>
        <color theme="1"/>
        <rFont val="Arial"/>
        <family val="2"/>
      </rPr>
      <t>Forgone revenue (IDR 183.4 tn):</t>
    </r>
    <r>
      <rPr>
        <sz val="10"/>
        <color theme="1"/>
        <rFont val="Arial"/>
        <family val="2"/>
      </rPr>
      <t xml:space="preserve"> 
• For 2020, approved tax incentives amounted to IDR 120 tn.
• For 2021, the approved budget is IDR 63.4 tn
•Packages include various tax reliefs and incentives: exemption and reduction of income taxes (with an income ceiling) and a reduction of the corporate income tax from 25 percent to 22 percent.</t>
    </r>
  </si>
  <si>
    <r>
      <rPr>
        <b/>
        <sz val="10"/>
        <color theme="1"/>
        <rFont val="Arial"/>
        <family val="2"/>
      </rPr>
      <t>Additional spending</t>
    </r>
    <r>
      <rPr>
        <sz val="10"/>
        <color theme="1"/>
        <rFont val="Arial"/>
        <family val="2"/>
      </rPr>
      <t>: For COVID-19 testing, clinical management, tracing, vaccination and therapeutics, and isolation facilities.</t>
    </r>
  </si>
  <si>
    <r>
      <rPr>
        <b/>
        <sz val="10"/>
        <rFont val="Arial"/>
        <family val="2"/>
      </rPr>
      <t xml:space="preserve">Additional spending (RMB 3 tn):K48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1.8 tn):
</t>
    </r>
    <r>
      <rPr>
        <sz val="10"/>
        <rFont val="Arial"/>
        <family val="2"/>
      </rPr>
      <t>•  VAT exemptions for goods and services related to epidemic control and for small taxpayers in Hubei; and VAT rate cut from 3% to 1% in other regions until the year end. The VAT rate cut was subsequently extended for all SMEs to end-2021.                                                                                                                                                           •  The temporary lowering of the rates of unemployment insurance and work-related injury insurance was set to expire at the end of April 2021. It will be extended for another year until April 30, 2022.                                                                                                                                                                                                                                                    •  VAT exemption for public transportation, catering, accommodation, tourism, entertainment, cultural, sports were extended to December 31, 2021.
• Waived VAT on interest payments to financial institutions who extend loans of RMB 1 million or less to SMEs and sole proprietors. Instituted a 0.5 percentage point VAT reduction on secondhand vehicles sold by dealers from May until end-2023.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the end of December. 
• Allow companies suffering from serious difficulties to postpone social insurance payments until end-2020.</t>
    </r>
  </si>
  <si>
    <r>
      <rPr>
        <b/>
        <sz val="10"/>
        <color theme="1"/>
        <rFont val="Arial"/>
        <family val="2"/>
      </rPr>
      <t>Additional spending (Rs 1041 bn):</t>
    </r>
    <r>
      <rPr>
        <sz val="10"/>
        <color theme="1"/>
        <rFont val="Arial"/>
        <family val="2"/>
      </rPr>
      <t xml:space="preserve">
• Additional spending on health infrastructure, including for COVID-19 testing facilities, personal protective equipment, isolation beds, ICU beds, ventilators and medical screening.
• The budget for FY2020/21 released on February 1, 2021 provisioned 350 billion Rs for the country's vaccination program with the possibility of expanding the envelope.                                                           • In June 2021, the central government announced support to states for purchase of vaccines (100 billion Rs).                                                                                             • In July 2021 a package of health care infrastructure spending (India COVID 19 Emergency Response and Health Systems Preparedness Package, about 230 billion Rs) was announced.</t>
    </r>
  </si>
  <si>
    <r>
      <rPr>
        <b/>
        <sz val="10"/>
        <rFont val="Arial"/>
        <family val="2"/>
      </rPr>
      <t xml:space="preserve">Accelerated Spending (Rs 660 bn:
</t>
    </r>
    <r>
      <rPr>
        <sz val="10"/>
        <rFont val="Arial"/>
        <family val="2"/>
      </rPr>
      <t>• On March 26, 2020, the government accelerated the first installment of payments to lower income farmers under PM KISAN (160 billion rupees). As part of the scheme announced on June 20th, 2020, the government expedited the implementation of a set of public works projects spanning 12 different ministries, to boost employment and livelihood opportunities for migrant workers returning to villages (500 billion rupees)</t>
    </r>
    <r>
      <rPr>
        <b/>
        <sz val="10"/>
        <rFont val="Arial"/>
        <family val="2"/>
      </rPr>
      <t xml:space="preserve">
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   
• On June 12, the GST council announced that it would halve the interest rate charged on overdue filings of small businesses.</t>
    </r>
  </si>
  <si>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
•On November 12, the collateral-free lending program was extended to March 31, 2021 and expanded to provide additional support to 26 stressed sectors.  
• In June 2021, a new loan guarantee scheme for Covid-affected sectors was announced (500 billion Rs) and the existing credit guarantee scheme was extended (1500 billion Rs).</t>
  </si>
  <si>
    <r>
      <rPr>
        <b/>
        <sz val="10"/>
        <color theme="1"/>
        <rFont val="Arial"/>
        <family val="2"/>
      </rPr>
      <t>Additional spending:</t>
    </r>
    <r>
      <rPr>
        <sz val="10"/>
        <color theme="1"/>
        <rFont val="Arial"/>
        <family val="2"/>
      </rPr>
      <t xml:space="preserve">
• Production, procurement and distribution of critical equipment such as masks and ventilators (JPY 0.8 tn)
•Transfers to local governments to be used for their health- and long-term care related measures including cash handouts to medical and long-term care practitioners (JPY 3.7 tn)
•  Other health-related measures (procurement of vaccines, etc.) (JPY 6.7 tn).</t>
    </r>
  </si>
  <si>
    <r>
      <t>Additional spending (JPY 78.9 tn):</t>
    </r>
    <r>
      <rPr>
        <sz val="10"/>
        <rFont val="Arial"/>
        <family val="2"/>
      </rPr>
      <t xml:space="preserve">
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 tn).
Additional measures announced May 27, 2020 include: 
• Transfers to local governments (JPY 2 tn); 
• Expansion of work subsidies (JPY 1.3 tn); 
• Subsidies for public/private financial institutions' lending (JPY 9.3 tn); 
• Replenishment of cash transfers for firms (JPY 1.9 tn); 
• Subsidies to affected firms for rent payment (JPY 2 tn).
The government announced additional measures on December 8 2020, including: 
• Incentives for firms to invest in green technologies (JPY 2.0 tn)
• Subsidies to accelerate business restructuring of SMEs (JPY 1.1 tn)
• Extension of the Employment Adjustment Subsidy (JPY 1.5 tn)
• Transfers to the local governments (JPY1.5 tn)
•  Subsidies for financial institutions' lending (JPY 3.2 tn)
•  Measures to enhance national resilience (primarily public investments) (JPY 4.4 tn)
In April 2020 onwards, the government decided to spend a part of the COVID-19 reserve fund on the health and non-health measures totaling JPY 11.2 tn (excluding the spending approved on December 11 2020). The measures include:
•  Cash transfers to affected firms (JPY 1.2 tn)
•  Replenishment of the emergency loan program for affected households (JPY 1.0 tn)
•  Enhancement of healthcare capacity (JPY1.7 tn)
•  Procurement of vaccines (JPY 2.0 tn)
•  Top up the Employment Adjustment Subsidy (JPY 0.5 tn)
•  Transfers to the local governments (JPY 3.9 tn)
</t>
    </r>
    <r>
      <rPr>
        <b/>
        <sz val="10"/>
        <rFont val="Arial"/>
        <family val="2"/>
      </rPr>
      <t xml:space="preserve">
Forgone revenue :</t>
    </r>
    <r>
      <rPr>
        <sz val="10"/>
        <rFont val="Arial"/>
        <family val="2"/>
      </rPr>
      <t xml:space="preserve"> Revenue measures included in the past economic packages include expansion of the loss carry-back and carry-forward schemes, tax incentives for firms’ decarbonization and digitalization, and reduction of property tax and the aviation fuel tax.</t>
    </r>
  </si>
  <si>
    <r>
      <rPr>
        <b/>
        <sz val="10"/>
        <rFont val="Arial"/>
        <family val="2"/>
      </rPr>
      <t xml:space="preserve">Additional spending: </t>
    </r>
    <r>
      <rPr>
        <sz val="10"/>
        <rFont val="Arial"/>
        <family val="2"/>
      </rPr>
      <t xml:space="preserve">
• Emergency spending and first supplementary budget (KRW 2.1 tn): Epidemic prevention and treatment, support for medical institutions and quarantined households.
• Third supplementary budget (KRW 2.4 tn): Expanding diagnostic and treatment facilities and smart medical centers; promoting treatment and vaccine development; promoting test-trace-treatment to be a global standard and increasing official development aid of K COVID-19 response kits and tools. 
• Additional health spending (KRW 600 bn).
• Customized Relief Package (December 2020; KRW 0.8 tn) Strengthen disease prevention measures and reinforce medical system and facilities
• 2021 supplementary budget (KRW 4.2 tn) : COVID-19 vaccination,  compensation for medical institutions.                                                                                            • 2021 2nd supplementary budget (4.9 trillion won), vaccine rollouts and development, testing and quarantine, rewards to private medical institutions. </t>
    </r>
  </si>
  <si>
    <r>
      <rPr>
        <b/>
        <sz val="10"/>
        <rFont val="Arial"/>
        <family val="2"/>
      </rPr>
      <t>Additional Spending (KRW 106.2 tn):</t>
    </r>
    <r>
      <rPr>
        <sz val="10"/>
        <rFont val="Arial"/>
        <family val="2"/>
      </rPr>
      <t xml:space="preserve">
• The government has announced consumption coupons for the poor, emergency family care support, and support for business re-opening (KRW 5.6 tn).
• The 1st supplementary budget included support for SMEs, additional consumption coupons, and grants to local governments (KRW 8.8 tn).
• The 2nd supplementary budget included cash transfers to whole households (KRW 14.3 tn). 
• The 3rd supplementary budget includes support for companies, employment, and social safety nets; boost to consumption, investment, and local economies; and Korean new deal for digital and green investment (KRW 23.7 tn).
• The 4th supplementary budget: KRW 7.8 tn (KRW 3.9 tn for SME support, KRW 1.5 tn for employment relationship, KRW 0.4 tn support for unemployed and low income household, KRW 1.8 tn in daycare support and mobile bills, and KRW 0.2 tn for emergency disease prevention).
• Customized Relief Package (December 2020; KRW 4.6 tn): Rent subsidy for small business owners and income support for freelancers, platform workers, and etc.
• 2021 supplementary budget: KRW 10.7 tn (KRW 8.2 tn support for SME and vulnerable workers, KRW 2.5 tn support for employment)                                                      • 2021 2nd supplementary budget (30 trillion won): pandemic relief package, employment support, and support for local governments.
</t>
    </r>
    <r>
      <rPr>
        <b/>
        <sz val="10"/>
        <rFont val="Arial"/>
        <family val="2"/>
      </rPr>
      <t xml:space="preserve">Forgone revenue (KRW 3.4 tn):
</t>
    </r>
    <r>
      <rPr>
        <sz val="10"/>
        <rFont val="Arial"/>
        <family val="2"/>
      </rPr>
      <t>• Temporary corporate/income tax cuts for landlords who reduce commercial rents.
• Rental fees reduction for tenants of public properties 
• Rental fees reduction for tenants of commercial properties and reduction in airport facility fees, ports and terminal charges.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t>
    </r>
  </si>
  <si>
    <r>
      <rPr>
        <b/>
        <sz val="10"/>
        <rFont val="Arial"/>
        <family val="2"/>
      </rPr>
      <t>Spending Measures (29 bn):</t>
    </r>
    <r>
      <rPr>
        <sz val="10"/>
        <rFont val="Arial"/>
        <family val="2"/>
      </rPr>
      <t xml:space="preserve">
Targeted subsidies on private sector wages and social security contributions (for April, May, and June);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t>
    </r>
    <r>
      <rPr>
        <b/>
        <sz val="10"/>
        <rFont val="Arial"/>
        <family val="2"/>
      </rPr>
      <t xml:space="preserve">                                                                                                                                                                                                                                                   Foregone Revenues (2 bn):</t>
    </r>
    <r>
      <rPr>
        <sz val="10"/>
        <rFont val="Arial"/>
        <family val="2"/>
      </rPr>
      <t xml:space="preserve">
Lowering the late interest rate for public taxes and duties from 0.03% to 0.015%.
Lowering the penalty rate, by 50% i.e. to 5% for corporates and to 4% for the households.                                                                                                                            PIT and CIT deferrals (extended several times, currently through June 2021), temporary changes to CIT loss carry forward provisions, deduction of Covid-19 related expenses from taxable income, higher turnover tax thresholds, lower custom duties, and reduced VAT rate for the catering sector.</t>
    </r>
  </si>
  <si>
    <r>
      <rPr>
        <b/>
        <sz val="10"/>
        <color theme="1"/>
        <rFont val="Arial"/>
        <family val="2"/>
      </rPr>
      <t xml:space="preserve">Additional spending: </t>
    </r>
    <r>
      <rPr>
        <sz val="10"/>
        <color theme="1"/>
        <rFont val="Arial"/>
        <family val="2"/>
      </rPr>
      <t xml:space="preserve">
•	Health and social services resources and equipment purchases, and covid-19 research (3.1) 
•	Other expenditure increases arising from the coronavirus situation (0.9)
</t>
    </r>
  </si>
  <si>
    <r>
      <rPr>
        <b/>
        <sz val="10"/>
        <color theme="1"/>
        <rFont val="Arial"/>
        <family val="2"/>
      </rPr>
      <t xml:space="preserve">Additional spending: </t>
    </r>
    <r>
      <rPr>
        <sz val="10"/>
        <color theme="1"/>
        <rFont val="Arial"/>
        <family val="2"/>
      </rPr>
      <t xml:space="preserve">
· Expansion of existing social transfer programs for vulnerable households, including allowance programs for the disadvantaged elderly people, widows and female divorcees, and food aid distribution; Cash assistance to the jobless poor affected by COVID-19.   
· Wage support for export-oriented industries; Fund for the construction of home for homeless people; Providing support for farm mechanization; Enhancing the amount of agricultural subsidy; Employment creation program through government financial institutions; Subsidy for partial remission of commercial bank's suspended interest of April and May of 2020; Social safety net program for the workers who lost their job in the RMG, leather goods and footwear industries. Micro-credit and the marginal people's livelihood development program. 
</t>
    </r>
    <r>
      <rPr>
        <b/>
        <sz val="10"/>
        <color theme="1"/>
        <rFont val="Arial"/>
        <family val="2"/>
      </rPr>
      <t xml:space="preserve">Forgone revenue: 
</t>
    </r>
    <r>
      <rPr>
        <sz val="10"/>
        <color theme="1"/>
        <rFont val="Arial"/>
        <family val="2"/>
      </rPr>
      <t>· Income tax relief e.g. increase in tax-free limit (from 2.5 to 3.0 lakh for males, from 3.0 to 3.5 for females), reduction in minimum tax rate from 10% to 5% and in the maximum tax rate from 30% to 25%, and introduction of a tax rebate for taxpayers who file income tax returns online for the first time.
· Corporate tax reductions e.g. reduction in tax rate for non-publicly traded companies from 35% to 32.5%, reduction of tax rate at source of local supply of essential commodities, and withholding tax rate on export proceeds is reduced from 1% to 0.5%. 
· VAT rate reductions (e.g. Advance Tax on imported raw materials for manufacturing industries) and exemptions (penalty and interest in case of failure to submit the VAT return and pay income tax on time).
· Preferential treatment on import duties for various essential raw materials for targeted industries.</t>
    </r>
  </si>
  <si>
    <r>
      <t xml:space="preserve">Additional spending:
</t>
    </r>
    <r>
      <rPr>
        <sz val="10"/>
        <rFont val="Arial"/>
        <family val="2"/>
      </rPr>
      <t>Grants to businesses (announced: DKK 35.8 bn; uptake: DKK 22.6 bn)
Employment support &amp; unemployment benefits  (announced DKK 30.8 bn; uptake DKK 20.9 bn) 
Boosting business activity (announced: DKK 9.6 bn; uptake 6.5 bn)
Consumption support to Households (announced: DKK 2.2 bn; uptake 2.2 bn)
Upskilling &amp; Education (announced: DKK 1.1; uptake 1.1 bn)</t>
    </r>
  </si>
  <si>
    <r>
      <t xml:space="preserve">Accelerated spending (1 bn):
• Advance payment of tax credits (DKK 1 bn)
Deferred revenue (317.8 bn):
</t>
    </r>
    <r>
      <rPr>
        <sz val="10"/>
        <color theme="1"/>
        <rFont val="Arial"/>
        <family val="2"/>
      </rPr>
      <t>Tax deferrals (2020 &amp; 2021) (announced 317.8; uptake 206.0)</t>
    </r>
  </si>
  <si>
    <r>
      <rPr>
        <b/>
        <sz val="10"/>
        <rFont val="Arial"/>
        <family val="2"/>
      </rPr>
      <t xml:space="preserve">Additional spending: </t>
    </r>
    <r>
      <rPr>
        <sz val="10"/>
        <rFont val="Arial"/>
        <family val="2"/>
      </rPr>
      <t xml:space="preserve">
·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lasted April to June.
· One-off transfer of Lk40,000 to affected people (in tourism, active processing and employees of small businesses not included in the first package, including employees of large businesses that have been laid off due to the pandemic.
· An additional minimum wage will be paid to public transport workers who started work one month later than the removal of restrictions for the rest of the economy ( Lk135m). 
· A temporary increase in the payments for social assistance  (Lk 2.5 bn for 2021).
</t>
    </r>
    <r>
      <rPr>
        <b/>
        <sz val="10"/>
        <rFont val="Arial"/>
        <family val="2"/>
      </rPr>
      <t xml:space="preserve">Foregone revenue:
</t>
    </r>
    <r>
      <rPr>
        <sz val="10"/>
        <rFont val="Arial"/>
        <family val="2"/>
      </rPr>
      <t>· Small businesses (those below an annual turnover threshold of Lk14 million) will not pay profit tax in 2020 (normative act April 23). Estimated amount Lk81 mn.</t>
    </r>
  </si>
  <si>
    <r>
      <rPr>
        <b/>
        <sz val="10"/>
        <rFont val="Arial"/>
        <family val="2"/>
      </rPr>
      <t>Accelerated spending (2.1):</t>
    </r>
    <r>
      <rPr>
        <sz val="10"/>
        <rFont val="Arial"/>
        <family val="2"/>
      </rPr>
      <t xml:space="preserve">
· Annual indexation of pensions to CPI - usually applied in July, brought forward to April. Pensions were increased by 2.3% effective April 1.
</t>
    </r>
    <r>
      <rPr>
        <b/>
        <sz val="10"/>
        <rFont val="Arial"/>
        <family val="2"/>
      </rPr>
      <t xml:space="preserve">Deferred revenue (0): </t>
    </r>
    <r>
      <rPr>
        <sz val="10"/>
        <rFont val="Arial"/>
        <family val="2"/>
      </rPr>
      <t xml:space="preserve">
· All large companies (except banks, telecommunication, SOE-s and companies in the chain of supply of essential goods) can defer the corporate income tax installments for Q2 and Q3 2020 to Q2 - Q3 2021.
· For tourism, active processing and call centers – and small businesses with turnover of Lk14 mn or less – the payment of Q2, Q3 and Q4 of 2020 profit tax is deferred to Q2-Q4 2021.</t>
    </r>
  </si>
  <si>
    <r>
      <t xml:space="preserve">• Lk11 bn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rFont val="Symbol"/>
        <family val="1"/>
        <charset val="2"/>
      </rPr>
      <t>·</t>
    </r>
    <r>
      <rPr>
        <sz val="10"/>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</si>
  <si>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r>
      <rPr>
        <b/>
        <sz val="10"/>
        <color theme="1"/>
        <rFont val="Arial"/>
        <family val="2"/>
      </rPr>
      <t>Additional spending:</t>
    </r>
    <r>
      <rPr>
        <sz val="10"/>
        <color theme="1"/>
        <rFont val="Arial"/>
        <family val="2"/>
      </rPr>
      <t xml:space="preserve">
· Purchase of medical equipment and supplies 2020 (RON 3.8 bn - expired);
· Financial support to quarantine centers 2020 (RON 0.3 bn - expired);
· Risk bonus for healthcare workers 2020/2021 (RON 1.8 bn);
· Purchase of medical equipment and supplies (including vaccination program) 2021 (RON 2.3 bn);
· Additional bonuses for health personnel 2020-2021 (RON 2.1 bn).
</t>
    </r>
    <r>
      <rPr>
        <b/>
        <sz val="10"/>
        <color theme="1"/>
        <rFont val="Arial"/>
        <family val="2"/>
      </rPr>
      <t>+I147</t>
    </r>
    <r>
      <rPr>
        <sz val="10"/>
        <color theme="1"/>
        <rFont val="Arial"/>
        <family val="2"/>
      </rPr>
      <t xml:space="preserve"> Capping the fee on medicine sales; suspending VAT for medical imports.</t>
    </r>
  </si>
  <si>
    <t>Affected firms and workers are allowed to defer their contribution (up to 12 months) to the pension fund and survivor-ship fund with no interest penalty for late payment (estimated to be VND 9.5 tn). VSS measures in 2021 at 16.5 tn, of which 3.6tn are exemptions of premium contributions, 8.4tn are deferrals, and 4.5 tn are job retention programs.</t>
  </si>
  <si>
    <t>• Proposal to cut electricity prices by 10 percent for certain enterprises and households, and exempt payment for quarantine zones, with Vietnam Electricity (EVN) bearing costs of price adjustment (0.1 percent of GDP). Moreover, firms receive concessional loans from the development bank (VSBP), financed by the central bank through a refinancing window at zero interest rate, to make salary payments to their workers who are temporarily laid off (0.2 percent of GDP). In 2021, cut electricity prices temporarily estimated at 4.1 tn, cut telephone prices at 10 tn, and concessional VBSP lending at 7.5 tn.</t>
  </si>
  <si>
    <t>Marshall Islands</t>
  </si>
  <si>
    <r>
      <rPr>
        <b/>
        <sz val="10"/>
        <color theme="1"/>
        <rFont val="Arial"/>
        <family val="2"/>
      </rPr>
      <t>Additional spending</t>
    </r>
    <r>
      <rPr>
        <sz val="10"/>
        <color theme="1"/>
        <rFont val="Arial"/>
        <family val="2"/>
      </rPr>
      <t xml:space="preserve">: Healthcare personnel, facilities and supplies, including vaccines.
</t>
    </r>
    <r>
      <rPr>
        <b/>
        <sz val="10"/>
        <color theme="1"/>
        <rFont val="Arial"/>
        <family val="2"/>
      </rPr>
      <t xml:space="preserve">                                                                                                                                                                                                                                                     Foregone Revenue</t>
    </r>
    <r>
      <rPr>
        <sz val="10"/>
        <color theme="1"/>
        <rFont val="Arial"/>
        <family val="2"/>
      </rPr>
      <t>: Temporary VAT exemptions for medical supplies</t>
    </r>
  </si>
  <si>
    <r>
      <rPr>
        <b/>
        <sz val="10"/>
        <color theme="1"/>
        <rFont val="Arial"/>
        <family val="2"/>
      </rPr>
      <t xml:space="preserve">Additional spending: </t>
    </r>
    <r>
      <rPr>
        <sz val="10"/>
        <color theme="1"/>
        <rFont val="Arial"/>
        <family val="2"/>
      </rPr>
      <t>Temporary unemployment benefits to formal workers (0.6 percent of GDP), delivery of food supplies to poor families (0.2 percent of GDP), and cash transfers to informal workers (0.4 percent of GDP).</t>
    </r>
  </si>
  <si>
    <r>
      <rPr>
        <b/>
        <sz val="10"/>
        <color theme="1"/>
        <rFont val="Arial"/>
        <family val="2"/>
      </rPr>
      <t>Additional spending (13,627 bn pesos):</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and transfer of 243 thousand million pesos to cover hospital payrolls.
· Resources for vaccines and testing capacity.
</t>
    </r>
    <r>
      <rPr>
        <b/>
        <sz val="10"/>
        <color theme="1"/>
        <rFont val="Arial"/>
        <family val="2"/>
      </rPr>
      <t xml:space="preserve">
Forgone revenue (685 bl pesos):</t>
    </r>
    <r>
      <rPr>
        <sz val="10"/>
        <color theme="1"/>
        <rFont val="Arial"/>
        <family val="2"/>
      </rPr>
      <t xml:space="preserve"> a reduction of tariffs for strategic health imports,  VAT exemption on over 100 medical goods.</t>
    </r>
  </si>
  <si>
    <r>
      <rPr>
        <b/>
        <sz val="10"/>
        <color theme="1"/>
        <rFont val="Arial"/>
        <family val="2"/>
      </rPr>
      <t xml:space="preserve">Additional spending (30,037 bn pesos):
</t>
    </r>
    <r>
      <rPr>
        <sz val="10"/>
        <color theme="1"/>
        <rFont val="Arial"/>
        <family val="2"/>
      </rPr>
      <t xml:space="preserve">• Expanded transfers for vulnerable groups including expanded social programs and support to workers in the informal sector. 
• Support for recently unemployed workers.
• Payroll subsidy for three months equivalent to 40 percent of the minimum wage per worker for businesses with a revenue fall above 20 percent and a subsidy worth 50% of June's bonuses for employees earning minimum wage for businesses with a revenue fall above 20 percent  
• Increased infrastructure spending to support the recovery.
</t>
    </r>
    <r>
      <rPr>
        <b/>
        <sz val="10"/>
        <color theme="1"/>
        <rFont val="Arial"/>
        <family val="2"/>
      </rPr>
      <t xml:space="preserve">
Forgone revenue (1,995 bn pesos): </t>
    </r>
    <r>
      <rPr>
        <sz val="10"/>
        <color theme="1"/>
        <rFont val="Arial"/>
        <family val="2"/>
      </rPr>
      <t xml:space="preserve">
• No road tolls during the quarantine period.
• Elimination of withholding tax for companies in bankruptcy protection.
• Tariff reduction for soy beans and corn, no VAT for internet connection and new trucks.
• No interest costs on delayed payment of electricity and gas for most strata 1-4 households. Lowered interest rate on tax arrears.
• For a duration of six months, public sector workers earning between Col Pesos 10-15 mn will pay additional taxes worth 10% of their salaries, those earning above 15 mn will contribute 15%.</t>
    </r>
  </si>
  <si>
    <r>
      <t xml:space="preserve">Additional spending (€2.2 bn):
</t>
    </r>
    <r>
      <rPr>
        <sz val="10"/>
        <color theme="1"/>
        <rFont val="Arial"/>
        <family val="2"/>
      </rPr>
      <t>• Medicines, personal protective equipment, complementary means of diagnosis and therapy; 
• COVID-19 tests and vaccines; 
• Personnel expenses, incl. extraordinary health insurance subsidies for health professionals;
• Profilactic isolation;
• Investment to expand intensive care services of the National Health Service.</t>
    </r>
  </si>
  <si>
    <r>
      <t xml:space="preserve">Additional spending (€8.7 bn):
</t>
    </r>
    <r>
      <rPr>
        <sz val="10"/>
        <rFont val="Arial"/>
        <family val="2"/>
      </rPr>
      <t>• Support measures for employment and resumption of activity (€3.0 bn);
• Non-repayble subsidies to businesses affected by the pandemic, program Apoiar.pt (€1.1 bn);
• Social protection programs, such as extension of unemployment coverage and support to self-employed and informal workers (€0.6 bn);
• Extraordinary financial incentive (subsidy) to businesses for normalization of economic activity (€0.3 bn);
• Family support programs (€0.2 bn);
• Other support measures (€0.2 bn);
• Investment, incl. digital education, teleworking (€0.4 bn);
• Investment under the Recovery and Resilience Plan in 2021 (€0.5 bn);
• Support to national airlines (€1.3 bn in 2020 and €1.1 bn in 2021);</t>
    </r>
    <r>
      <rPr>
        <b/>
        <sz val="10"/>
        <rFont val="Arial"/>
        <family val="2"/>
      </rPr>
      <t xml:space="preserve">
Forgone revenue (€1.2 bn):
</t>
    </r>
    <r>
      <rPr>
        <sz val="10"/>
        <rFont val="Arial"/>
        <family val="2"/>
      </rPr>
      <t>• Exemption from payment of the Single Social Fee (€0.7 bn);
• Lowering of reduced electricity VAT rate (€0.2 bn);
• Temporary waiver of VAT on purchases of certain medical material;
• VAT refund program for catering, accommodation and culture (€0.2);
• Other tax relief measures, such as road toll reductions,property rents, SME taxes (€0.1).</t>
    </r>
  </si>
  <si>
    <t>A maximum of €13 billion authorized under the EU Temporary State Aid Framework. 
Public guarantee programs rolled out in 2020 include:
• Credit lines rolled out in April 2020 targeting micro, SMEs and mid-cap companies (€6.2bn), including: restaurants (€.6 bn); travel agencies (€0.2M); tourism (€0.9M); and industry (€4.5bn).
• Capitalizar credit line in May 2020 (€0.4bn) targeting working capital needs and open to large companies;
• Credit line for treasury needs of micro companies in the tourism sector (€0.06 bn);
• Credit insurances guaranteed on export operations: metallurgy and construction (€0.4 bn); short-term export (€0.3 bn);
• Credit line targeting companies in Madeira region (€0.1 bn);
• Creidt line fo SMEs in November 2020 (€0.8bn), of which 20% is non-repayable;
Introduced for the first half of 2021:
• New and expanded credit lines targeting SMEs (€0.750 bn);
• Industry and tourism exporting companies (€1.050 bn), with loans up to €4,000 per worker, of which 20 percent can be converted into a non-refundable subsidy if jobs are maintained;
• Credit line for event organizers (€0.050 bn), 20% non-refundable;
Credit line for large companies in the sectors most affected (€0.750 bn);
• Travel agencies and tour operators, including SMEs (€0.4 bn).</t>
  </si>
  <si>
    <r>
      <rPr>
        <b/>
        <sz val="10"/>
        <rFont val="Arial"/>
        <family val="2"/>
      </rPr>
      <t xml:space="preserve">Additional spending: 
</t>
    </r>
    <r>
      <rPr>
        <sz val="10"/>
        <rFont val="Arial"/>
        <family val="2"/>
      </rPr>
      <t>• Cash aid and raised minimum pension (TL 29.8 bn);
• Unemployment benefits (TL 7.3 bn);
• Short-time work allowance (TL 36.7 bn); 
• Cash aid to employees (TL 14 bn).
• Normalization support (TL 4.8 bn).
• Social Support Program (TL 9.9 bn).</t>
    </r>
    <r>
      <rPr>
        <b/>
        <sz val="10"/>
        <rFont val="Arial"/>
        <family val="2"/>
      </rPr>
      <t xml:space="preserve">
Forgone revenue (TL 44.6 bn):  40,6 bn TL forgone tax revenue and 4 bn TL Financing cost of Tax and SSP Deferrals
</t>
    </r>
    <r>
      <rPr>
        <sz val="10"/>
        <rFont val="Arial"/>
        <family val="2"/>
      </rPr>
      <t xml:space="preserve">• VAT rate on food and beverage, cinema, theatre, museum and accommodation services was reduced from 8% to 1% until 31 December, 2020. It is prolonged for five months for 2021.It was again prolonged to end of September 2021.
• VAT rate on workplace rental services, passenger transportation, maintenance and repair of small home appliances, wedding and marriage organizations, residential maintenance, repair, painting, and cleaning services was reduced from 18% to 8% until 31 December, 2020. It is prolonged for five months for 2021. It was again prolonged to end of September 2021.
• Withholding tax on workplace rent was reduced from 20% to 10% until 31 December, 2020. It is prolonged for five months for 2021.It was again prolonged to end of September.
• VAT rate on passenger transportation by air was reduced to 1% from 1 April, 2020 to 30 June, 2020. 
• VAT rate on education and training services between 1 September, 2020 and 30 June, 2021 was reduced from 8% to 1% temporarily. It was again prolonged to end of September 2021.
</t>
    </r>
    <r>
      <rPr>
        <sz val="10"/>
        <rFont val="Symbol"/>
        <family val="1"/>
        <charset val="2"/>
      </rPr>
      <t>·</t>
    </r>
    <r>
      <rPr>
        <sz val="7"/>
        <rFont val="Arial"/>
        <family val="2"/>
      </rPr>
      <t xml:space="preserve"> </t>
    </r>
    <r>
      <rPr>
        <sz val="10"/>
        <rFont val="Arial"/>
        <family val="2"/>
      </rPr>
      <t>Support to tradespeople (TL 9 bn), Supports for Artists (TL 0,2 bn) and Additional Payments for Treasury Interest Supported Loans Given to Agricultural Producers and Tradesmen (1,2 bn)</t>
    </r>
  </si>
  <si>
    <t>s</t>
  </si>
  <si>
    <r>
      <t xml:space="preserve">Additional spending (£271 bn):
</t>
    </r>
    <r>
      <rPr>
        <sz val="10"/>
        <color theme="1"/>
        <rFont val="Arial"/>
        <family val="2"/>
      </rPr>
      <t>• Coronavirus Job Retention Scheme to subsidise furloughed employees' wages (initially for 3 months and extended several times until September 2021) and firms' social security contributions (until the 1st August 2020); 
• Income support for the self-employed (initially for 3 months, but extended too until September 2021);                                                                                                               • Paid sick leave for self-isolating individuals and compensation for small firms needing to close for over 2 weeks, and support for low-income people in need to self-isolate.  
• Grant support for sectors impacted by local and national restrictions; 
• Support for low-income households by temporarily increasing Universal Credit and Working Tax Credit by £20 per week in 2020-21. The increase to Universal Credit was extended by a further 6 months from April 2021 and a one-off payment of £500 was provided to eligible Working Tax Credit claimants in April 2021; 
• Rent support by increasing the Local Housing Allowance; 
• International support, with £150 million made available to the IMF’s Catastrophe Containment and Relief Trust and £2.2 billion loan to the IMF Poverty Reduction and Growth Trust to help low-income countries;
• Government support for charities; 
• Cover the cost of 25 hours' work a week at the National Minimum Wage for six months for hired unemployed up to 24 years old.
• Boost of Active Labour Market Poilicies, including 250,000 subsidized jobs for young people.
• Entitle every diner to a 50% discount of up to £10 in August. 
• Public sector and social housing decarbonization and Green Homes Grant.
• Support for low-income people in need to self-isolate 
• Funding of 40,000 traineeships and doubling the number of work coaches to 27,000.
• Additional transfers to devolved administrations.</t>
    </r>
    <r>
      <rPr>
        <b/>
        <sz val="10"/>
        <color theme="1"/>
        <rFont val="Arial"/>
        <family val="2"/>
      </rPr>
      <t xml:space="preserve">
Forgone revenue (£34 bn): 
</t>
    </r>
    <r>
      <rPr>
        <sz val="10"/>
        <color theme="1"/>
        <rFont val="Arial"/>
        <family val="2"/>
      </rPr>
      <t>• Property tax (business rate) holiday for firms in affected sectors.
• Temporary cut on stamp duty land tax until June 2021.
• VAT reduced at 5% for hospitality, accommodation, and attractions until the end of September 2021, at 12.5% until March 2022, aftern which it will return to normal.</t>
    </r>
  </si>
  <si>
    <r>
      <t xml:space="preserve">Additional spending (£100 bn):
</t>
    </r>
    <r>
      <rPr>
        <sz val="10"/>
        <color theme="1"/>
        <rFont val="Arial"/>
        <family val="2"/>
      </rPr>
      <t xml:space="preserve">• Funding for the National Health Service, including to expand the number of hospital beds, medical staff and equipment. 
</t>
    </r>
    <r>
      <rPr>
        <b/>
        <sz val="10"/>
        <color theme="1"/>
        <rFont val="Arial"/>
        <family val="2"/>
      </rPr>
      <t xml:space="preserve">
Forgone revenue (£2.0bn):
</t>
    </r>
    <r>
      <rPr>
        <sz val="10"/>
        <color theme="1"/>
        <rFont val="Arial"/>
        <family val="2"/>
      </rPr>
      <t>• Waiver of VAT and customs duties on critical medical import.</t>
    </r>
  </si>
  <si>
    <r>
      <rPr>
        <b/>
        <sz val="10"/>
        <rFont val="Arial"/>
        <family val="2"/>
      </rPr>
      <t xml:space="preserve">Accelerated spending (£5 bn): 
</t>
    </r>
    <r>
      <rPr>
        <sz val="10"/>
        <rFont val="Arial"/>
        <family val="2"/>
      </rPr>
      <t xml:space="preserve">• Bring forward public infrastructure spending to FY2020/21.
</t>
    </r>
    <r>
      <rPr>
        <b/>
        <sz val="10"/>
        <rFont val="Arial"/>
        <family val="2"/>
      </rPr>
      <t xml:space="preserve">
Deferred revenue (£7.5 bn): 
</t>
    </r>
    <r>
      <rPr>
        <sz val="10"/>
        <rFont val="Arial"/>
        <family val="2"/>
      </rPr>
      <t>• Deferral of VAT for the second quarter of 2020 until June 21; 
• Deferral of income tax (self-assessment) of the self-employed until the end of January 2021.                                                                                                                           • Extension to reduced VAT rate for hospitality, accommodation and attractions (5% to 30 September 2021 then 12.5% to 31 March 2022)
• Extension the window for starting deferred payments through the VAT New Payment Scheme by up to three months
• Stamp Duty Land Tax: maintain nil-rate band at £500k until 30 June 2021, £250k until 30 September 2021
• Fuel Duty: one year freeze in 2021-22
Alcohol Duty: one year freeze in 2021-22</t>
    </r>
  </si>
  <si>
    <r>
      <t xml:space="preserve">Additional spending (AR $264.3 bn):
</t>
    </r>
    <r>
      <rPr>
        <sz val="10"/>
        <rFont val="Arial"/>
        <family val="2"/>
      </rPr>
      <t xml:space="preserve">• Budget increase for Health Ministry to improve virus diagnostics, purchase and distribute vaccines, hospital equipment, and build temporary emergency treatment centers.
• Budget transfers to specific hospitals.
• Monthly bonuses of AR $5K for healthcare workers (most recent April-June 2021).
• Health Strategy for Families and Communities. 
• Financial Assistance for Health Insurance Agents.
• Other (non-costed) support for the health sector includes discretionary transfers related to healthcare to provinces. 
</t>
    </r>
    <r>
      <rPr>
        <b/>
        <sz val="10"/>
        <rFont val="Arial"/>
        <family val="2"/>
      </rPr>
      <t xml:space="preserve">
Forgone revenue (AR $84.3 bn):
</t>
    </r>
    <r>
      <rPr>
        <sz val="10"/>
        <rFont val="Arial"/>
        <family val="2"/>
      </rPr>
      <t>• Exemption from import duties and statistical tax for medical supplies (April-August 2020).
• Tax aliquots on credits and debits in bank accounts and other operations of 2.5 and 5 percent for health service operations (April 2020 - December 2021).
• 95 percent reduction in the aliquot of employer social security contributions for a period of 90 days for health workers (April 2020 - December 2021).
• Special tax compensation scheme for those who make sales of essential goods, including a VAT refund for milk sales.</t>
    </r>
  </si>
  <si>
    <t>• Loans to provinces through the Provincial Development Trust Fund (FFDP)</t>
  </si>
  <si>
    <t>• State guaranteed, subsidized bank and provincial lending, including for working capital and payment of salaries;
• Banco Nación and ANSES loans, subsidies, and transfers for housing projects;
• Subsidized loans for the construction and repair of houses;
• Financing for SMEs to help implement remote working facilities;
• Suspension of public service cuts for 180 days due to non-payment of up to 3 consecutive invoices.</t>
  </si>
  <si>
    <r>
      <t xml:space="preserve">Additional spending (€23.4 bn): 
</t>
    </r>
    <r>
      <rPr>
        <sz val="10"/>
        <rFont val="Arial"/>
        <family val="2"/>
      </rPr>
      <t>• Federal government eased access to temporary unemployment for firms affected by Covid-19, raised the benefit replacement rate, and introduced a daily premium, as well as eased access to replacement income for the self-employed. It also introduced Covid-19 parental leave and increased unemployment benefits (extension of switching on allowance for the young, freezing of degressivity, etc.), social assistance benefits, and support to local social services. Additional measures have been taken to support hard-hit sectors and vulnerable groups as the pandemic evolved, while key temporary measures have been extended until end-December 2021.
• Regional governments provided transfers for companies and self-employed affected by closures or significantly reduced turnover; further support to specific, affected sectors in addition to the health care sector; support for utility bills for affected households; and a host of smaller support measures. Similar measures have been reintroduced in Oct-Nov 2021 in the context of the re-imposition of restrictions and the second lockdown. These are expiring in 2021.</t>
    </r>
    <r>
      <rPr>
        <b/>
        <sz val="10"/>
        <rFont val="Arial"/>
        <family val="2"/>
      </rPr>
      <t xml:space="preserve">
Forgone revenue (€4.2 bn): </t>
    </r>
    <r>
      <rPr>
        <sz val="10"/>
        <rFont val="Arial"/>
        <family val="2"/>
      </rPr>
      <t>Loss carry backward for CIT and PIT, tax exemption for regional support measures (for firms affected by closures and reduced turnover), social security contribution exemption for self-employed, temporary reduction in VAT in the hospitality sector (e.g., food and non-alcoholic beverages), increase in the investment allowance for SMEs and natural persons (extended until end-2022), and increase in the CIT allowance for restaurant and reception costs. Suspension of penalties for delays or non-performance of suppliers to the public sector.</t>
    </r>
  </si>
  <si>
    <t>• Federal government launched a guarantee mechanism for all new credits and credit lines, initially with a maximum maturity of 12 months granted by banks to viable non-financial corporations and self-employed (ended Dec 2020). Second scheme introduced end-July 2020 to extend the maturity to 36 months, replace the loss tranching by uniform loss sharing between government and banks (80-20), and ease the viability criterion. The second scheme carved 10bn out of the total envelope of 50bn and is targeted at SMEs. Take-up is about 2.1bn. The scheme has been extended until end-2021.
· Regional governments also provide guarantees for affected companies and self-employed in need of bridge loans. Take-up is about 0.5bn.
· The federal government signed a memorandum of understanding with Credendo ECA, Assuralia and private credit-insurance firms, committing to provide reinsurance for short-term (&lt; 2yrs) trade credit insurance.</t>
  </si>
  <si>
    <t xml:space="preserve">•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Covid-19 Corporate Financing Facility (CCFF), the Bank of England will buy short term debt from larger companies. 
•  The Bounce Back Loan Scheme will help SMEs to borrow between £2K and £50K for up to 6 years, with the government guaranteeing 100 percent of the loan and SMEs not paying any fees or interest in the first 12 months. The combined cost of the CBILS, CLBILS, CCCF, and BBLS was £112bn as of their expiration in end-March 2021.                                                                                                                                                                                                                                                                                                                                                                                                                    •  In March 2021, a new government-backed loan scheme – the Recovery Loan Scheme (RLS) – was announced. The RLS is to help businesses of any size access loans and other kinds of finance, with up to £10 million per business. The government guarantees 80 percent of the financing. The scheme is open until 31 December 2021, subject to review, and is estimated to cost £12bn.
•  Trade credit Insurance for business-to-business transactions will receive up to £10 billion of government guarantees through the Trade Credit Reinsurance scheme. The scheme is for 9 months.                                                                                                                                                                                                                            </t>
  </si>
  <si>
    <t>The Parliament amended the law governing the central bank to allow for a range of unconventional financing measures, including 1) one-off exceptional transfer (grant, not advance) from the central bank to the government of the amount R60 billion (12 percent of GDP); 2) setting up an SPV "The Mauritius Investment Corporation" - with a two-fold objective: (1) invest in local companies to support the recovery and mitigate contagion of the ongoing economic downturn to the banking sector, thus limiting macro-economic and financial risks; and (2) transfer US$2 billion from FX reserves to the SPV to finance different potential investments.
• The Bank of Mauritius made 2.5 percent two-year savings bonds available to retail investors, worth Rs 5 billion (1 percent of GDP).</t>
  </si>
  <si>
    <r>
      <rPr>
        <b/>
        <sz val="10"/>
        <color theme="1"/>
        <rFont val="Arial"/>
        <family val="2"/>
      </rPr>
      <t>Additional spending</t>
    </r>
    <r>
      <rPr>
        <sz val="10"/>
        <color theme="1"/>
        <rFont val="Arial"/>
        <family val="2"/>
      </rPr>
      <t>: The Federal Executive Council (FEC) approved the N2.3 trillion stimulus package (1.5% of GDP) proposed by the Economic Sustainability Committee, designed to cushion the impact of the COVID-19 pandemic on Nigeria’s economy. Measures include: mass agriculture program, extensive public work and road construction, mass housing program, strengthening social safety net, support micro, small and medium enterprise, etc. The stimulus package includes the initially approved N500 billion (0.34% of GDP) intervention fund, which was approved by the President to support healthcare facilities, provide relief for taxpayers and incentivize employers to retain and recruit staff during the downturn.                                                                                                                                                                    In July, the parliament approved the 2021 supplementary budget of N983 bn, of which N72 bn will be additionally spent for vaccine and health sector (the rest will go to security spending).</t>
    </r>
  </si>
  <si>
    <r>
      <t xml:space="preserve">Additional spending (AR $994.3 bn):
</t>
    </r>
    <r>
      <rPr>
        <sz val="10"/>
        <rFont val="Arial"/>
        <family val="2"/>
      </rPr>
      <t xml:space="preserve">• One-off additional allowances in 2020 for pensioners, beneficiaries of child, pregnancy, and other social allowances, as well as food stamps. Additional allowances for beneficiaries of child allowances and single-taxpayers in April 2021.
• Emergency family allowance for monotributistas, informal workers, and unemployed - three payments in 2020.
• Assistance to community kitchens (comedores) and retiree centers for food distribution.
• Transfers to provincial governments.
• Wage subsidies and complementary wages for affected SMEs.
• Higher spending on public works/infrastructure.
• Unemployment insurance increased by AR $4K to AR $10K.
• Financing for infrastructure in industrial parks.
• Small-scale supports for tourism and entertainment industries, science, education, external and security sectors.
• Transfers to state-guaranteed funds (FOGAR/FONDEP) for credit to SMEs and monotributistas.
• Support for hard hit and critical sectors: extension of the employment support program (REPRO II) in April 21; supplementary salaries.
</t>
    </r>
    <r>
      <rPr>
        <b/>
        <sz val="10"/>
        <rFont val="Arial"/>
        <family val="2"/>
      </rPr>
      <t xml:space="preserve">
Forgone revenue (AR $127.3 bn):
</t>
    </r>
    <r>
      <rPr>
        <sz val="10"/>
        <rFont val="Arial"/>
        <family val="2"/>
      </rPr>
      <t xml:space="preserve">• Reduction in employers' contributions to Social Security: most affected sectors granted 95% reduction in employers’ contributions to the pension system (April - May 2020); extended for employers in the REPRO II program (2021).
• Special benefits (tax breaks) for police and security at the forefront of COVID response. </t>
    </r>
  </si>
  <si>
    <r>
      <rPr>
        <b/>
        <sz val="10"/>
        <color theme="1"/>
        <rFont val="Arial"/>
        <family val="2"/>
      </rPr>
      <t>Additional spending</t>
    </r>
    <r>
      <rPr>
        <sz val="10"/>
        <color theme="1"/>
        <rFont val="Arial"/>
        <family val="2"/>
      </rPr>
      <t xml:space="preserve">: 
• Implementation of the Wage Support Scheme providing wage subsidy to employers, and Self-Employed Assistance Scheme providing income support to those employed in informal sectors or self-employed. The schemes were extended until September 2021 for employees in tourism-related sectors.
• The government provided Rs 9 billion support to Air Mauritius from its National Resilience Fund.
• In October 2020, the government announced that Rs 9 billion would be redirected from November 2020 until June 2021 funding the following initiatives: (i) The Human Resource Development Council will increase the National Training and Reskilling Intake by around 9,000 unemployed beneficiaries who will be paid monthly stipends, (ii) Employment Support Scheme for SMEs to support 11,000 employees with a monthly payment of Rs 10,200, (iii) Recruitment by Landscape of around 2,000 unemployed people for the National Clean-Up Campaign, (iv) the Air Freight Scheme, incorporated into the Economic Recovery Plan, with two components: supervision of the national airline currently under voluntary administration and support for the export sector.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</si>
  <si>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t xml:space="preserve">• The State Investment Corporation will raise Rs 4 billion (0.9 percent of GDP) to make equity investments in troubled firms, including SMEs. 
• The Development Bank of Mauritius Ltd provides Rs10 billion (2.3 percent of GDP) in credit to distressed enterprises and cooperatives.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million raised by early May 2020. </t>
    </r>
  </si>
  <si>
    <t>Advanced Economies</t>
  </si>
  <si>
    <t>iso</t>
  </si>
  <si>
    <t>Equity, loans, and guarantees</t>
  </si>
  <si>
    <t>DNK</t>
  </si>
  <si>
    <t>SWE</t>
  </si>
  <si>
    <t>FIN</t>
  </si>
  <si>
    <t>POR</t>
  </si>
  <si>
    <t>KOR</t>
  </si>
  <si>
    <t>NOR</t>
  </si>
  <si>
    <t>CHE</t>
  </si>
  <si>
    <t>BEL</t>
  </si>
  <si>
    <t>ESP</t>
  </si>
  <si>
    <t>CZE</t>
  </si>
  <si>
    <t>FRA</t>
  </si>
  <si>
    <t>NLD</t>
  </si>
  <si>
    <t>ITA</t>
  </si>
  <si>
    <t>DEU</t>
  </si>
  <si>
    <t>CAN</t>
  </si>
  <si>
    <t>JPN</t>
  </si>
  <si>
    <t>AUS</t>
  </si>
  <si>
    <t>SGP</t>
  </si>
  <si>
    <t>GBR</t>
  </si>
  <si>
    <t>NZL</t>
  </si>
  <si>
    <t>USA</t>
  </si>
  <si>
    <t>Emerging Market Economies</t>
  </si>
  <si>
    <t>MEX</t>
  </si>
  <si>
    <t>EGY</t>
  </si>
  <si>
    <t>PAK</t>
  </si>
  <si>
    <t>ALB</t>
  </si>
  <si>
    <t>ARE</t>
  </si>
  <si>
    <t>SAU</t>
  </si>
  <si>
    <t>TUN</t>
  </si>
  <si>
    <t>ROU</t>
  </si>
  <si>
    <t>TUR</t>
  </si>
  <si>
    <t>GTM</t>
  </si>
  <si>
    <t>IND</t>
  </si>
  <si>
    <t>PHL</t>
  </si>
  <si>
    <t>COL</t>
  </si>
  <si>
    <t>CHN</t>
  </si>
  <si>
    <t>MKD</t>
  </si>
  <si>
    <t>RUS</t>
  </si>
  <si>
    <t>ZAF</t>
  </si>
  <si>
    <t>BGR</t>
  </si>
  <si>
    <t>ARG</t>
  </si>
  <si>
    <t>KAZ</t>
  </si>
  <si>
    <t>EMEs</t>
  </si>
  <si>
    <t>POL</t>
  </si>
  <si>
    <t>GEO</t>
  </si>
  <si>
    <t>MUS</t>
  </si>
  <si>
    <t>BRA</t>
  </si>
  <si>
    <t>IDN</t>
  </si>
  <si>
    <t>PER</t>
  </si>
  <si>
    <t>SRB</t>
  </si>
  <si>
    <t>CHL</t>
  </si>
  <si>
    <t>THA</t>
  </si>
  <si>
    <t>Low Income Developing Countries</t>
  </si>
  <si>
    <t>MMR</t>
  </si>
  <si>
    <t>NER</t>
  </si>
  <si>
    <t>VNM</t>
  </si>
  <si>
    <t>ZMB</t>
  </si>
  <si>
    <t>BGD</t>
  </si>
  <si>
    <t>NGA</t>
  </si>
  <si>
    <t>KEN</t>
  </si>
  <si>
    <t>ETH</t>
  </si>
  <si>
    <t>GHA</t>
  </si>
  <si>
    <t>HND</t>
  </si>
  <si>
    <t>TCD</t>
  </si>
  <si>
    <t>SEN</t>
  </si>
  <si>
    <t>UZB</t>
  </si>
  <si>
    <t>GNB</t>
  </si>
  <si>
    <t>10 percent wage increase for public healthcare sector (RSD 13bn)
Increased healthcare spending (about RSD 26bn though recently reported to be higher - as much as RSD 60bn)</t>
  </si>
  <si>
    <t>Wage subsidies for three months (RSD 93bn): (i) Payment of 3 minimum wages for all employees in SMEs and entrepreneurs (about 900,000 employees) and (ii) Payment of 50 percent of minimum wages to large companies for employees who are not working.</t>
  </si>
  <si>
    <t>One-off payment to all pensioners (RSD 7bn)</t>
  </si>
  <si>
    <t>New loans to SMEs from the Development Fund (RSD 24bn)</t>
  </si>
  <si>
    <t>Universal cash transfer of EUR 100 to each citizen over 18 years old (about RSD 70bn)</t>
  </si>
  <si>
    <t>Support to 14,000 most vulnerable women in 50 municipalities across Serbia (worth RSD 12bn) in hygiene packages and essential foods</t>
  </si>
  <si>
    <t>A state guarantee scheme for bank loans to SMEs has been approved (exposure of RSD 56.5bn)</t>
  </si>
  <si>
    <t>Raise the March wages of healthcare workers by up to 15 percent (EUR 0.5 million has been allocated) (€0.5 mill)
The removal of the excise on medical alcohol sold in pharmacies</t>
  </si>
  <si>
    <t>The creation of a new Investment Development Fund (IRF) credit line to improve the liquidity of entrepreneurs (€50m)
State utility EPCG will double its electricity subsidies for vulnerable households (€?)</t>
  </si>
  <si>
    <t>Abolished the import duty on medical supplies (MKD ? mill)</t>
  </si>
  <si>
    <t>Targeted subsidies on private sector wages and social security contributions (for April, May, and June); a subsidy for those part of the informal economy; cash vouchers for minimum wage earners, the unemployed, recipients of social assistance and young people; partial reimbursement of university tuition fees and IT courses; loans at favorable terms and loan guarantee schemes for MSMEs subsidized by the government; targeted support for the agricultural, textile, and some other sectors.
Non-spending measures
Lowering the late interest rate for public taxes and duties from 0.03% to 0.015%   (MKD ? mill)
Lowering the penalty rate, by 50%, i.e. to 5% for corporates and to 4% for the households   (MKD ? mill)</t>
  </si>
  <si>
    <t xml:space="preserve">MKD 0.8 billion credit line from the MKD development bank for SMEs 
MKD 3.1 billion of cheap loans to SMEs from the MKD development bank channeled through commercial banks </t>
  </si>
  <si>
    <t>The approved RFI in the amount of SDR 265.2 million (100 percent of quota) will provide resources to accelerate the purchases of necessary medical equipment, additional payments to medical and paramedical staff, and clearance of health sector arrears. (KM 653.0 million)</t>
  </si>
  <si>
    <t>RS and FBIH are setting  up a special fund to stabilize the economy through subsidizing contributions and taxes and paying minimum wages (RS) for all employees of the companies impacted by Covid-19 (KM 500 million).</t>
  </si>
  <si>
    <t>The entity governments have allocated around KM 89.6 million for dealing with COVID-19, including purchasing medical equipment:
- FBIH transferred KM 30 million to hospitals and allocated KM 2.1 million from the budget for the procurement of medical equipment. 
- Sarajevo Canton budget allocated KM 3 million for procurement of medical equipment.
- RS allocated KM 4.5 million from the budget for the procurement of medical equipment and announced the health fund will cover health care costs for all patients by KM 50 million.</t>
  </si>
  <si>
    <t>FBIH - establishment of a guarantee fund at the Development Bank which will be serve to maintain and improve the liquidity of companies. FBIH government is committed to providing the Fund's initial funds of KM 80 million by diverting its funds already managed on a commission basis by the FBIH Development Bank. Additional funds for the capitalization of the Fund in the amount of KM 20 million are planned to be provided by the revision of the FBIH Budget for 2020. Therefore, the Fund's total assets in the initial period will amount to KM 100 million, on the basis of which the FBIH Development Bank will be able to issue guarantees and be exposed to a maximum of KM 500 million under them. RS - announced guarantee fund with exposure up to KM 350 million.</t>
  </si>
  <si>
    <t>Frontline heath workers to receive bonuses on top of their salaries from Eur500-1000 per month for the duration of the outbreak (cost included in the overall health package - no details of this available)
Additional funding for health sector in the amount of Lk 2.5 billion</t>
  </si>
  <si>
    <t>Lk11bn sovereign guarantee fund for companies to access overdrafts in the banking system to pay wages for their employees for up to 3 months. The interest is capped at 2.85% and maturity can be up to 2 years.
An additional sovereign guarantee line of Lk15bn (0.9% of GDP)  has been approved. Details are not yet available, but is likely to provide working capital for businesses in the tourism sector, the active processing industry (textile, footwear), and a more loosely defined “productive activities”. The government will cover the interest costs.</t>
  </si>
  <si>
    <t xml:space="preserve">Extra allowance (€300 per employee) for April, May (€ 15 mill) 
6 million euros to the Health Ministry to procure medical equipment (from contingencies) (€ 6 mill) 
Government decision to allocate 10 million to Ministry of Health (€ 10 mill) </t>
  </si>
  <si>
    <t>Support for companies for wage expenses of employees (Apr, May) (€ 41 mill) 
Covering of the value of pension contributions (April, May) (€ 8 mill)
Extra allowance (€100 per employee) for April, May (€ 3 mill)
Subsidies for new employment (€ 6 mill)
Subsidy up to 50 % of rent for April and May (€ 12 mill)
Grants and subsidies for increasing agricultural production (€ 5 mill)
Additional transfer to pensioners (€ 13 mill) 
Additional transfer to families (€ 7.65 mill) 
Financial suppoert to local governments (€ 10 mill)
Financial support to ethnical communities (€ 2 mill)
Unimployment benefits (€130 per person) for Apr, May, Jun (€ 4 mill)
Social assistance for citizens with severe social conditions, declared as unemployed (€ 3 mill)
Grants and subsidies to culture, youth and sports (€ 5 mill)</t>
  </si>
  <si>
    <t>Micro-enterprises and self-employed through Kosovo Credit Guarantee Fund  (€ 15 mill)</t>
  </si>
  <si>
    <t>Removal of VAT on imports of wheat and flour  (€2.5 mill)
Support for exporters (€ 10 mill)</t>
  </si>
  <si>
    <r>
      <t>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All measures a</t>
    </r>
    <r>
      <rPr>
        <sz val="10"/>
        <rFont val="Arial"/>
        <family val="2"/>
      </rPr>
      <t>re as of September</t>
    </r>
    <r>
      <rPr>
        <sz val="10"/>
        <color theme="1"/>
        <rFont val="Arial"/>
        <family val="2"/>
      </rPr>
      <t xml:space="preserve">, 2021, and quantified in gross terms, that is regardless of how they are financed or their net impact on the government budget. 'mn', 'bn', and 'tn' refer to million, billion, and trillion respectively; 'LC bn' refers to local currency billion and 'n.a.' are not available. Numbers in U.S. dollar and percent of 2020 GDP are based on October 2021 World Economic Outlook database unless otherwise stated. Estimates for the liquidity support programs such as guarantees refer to the announcement rather than the actual implementation or applications approved, and do not consider whether the programs have expired or extended. G20 = Group of Twenty; AE = Advanced Economy; EM = Emerging Market; LIDC = Low Income Developing Country. </t>
    </r>
  </si>
  <si>
    <t>This database summarizes key fiscal measures governments have announced or taken in selected economies in response to the COVID-19 pandemic as of September 27, 2021 for 20 G20 Advanced and Emerging Market Economies, 26 Non-G20 Advanced Economies, 82 Non-G20 Emerging Market Economies, 59 Low-Income Developing Countries. It includes COVID-19 related measures since January 2020 and covers measures for implementation in 2020, 2021, and beyond.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the measures for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</si>
  <si>
    <t>Note: Estimates as of Sep 27, 2021. Numbers in U.S. dollar and percent of GDP are based on October 2021 World Economic Outlook unless otherwise stated. The fiscal measures include resources allocated or planned in response to the COVID-19 pandemic since January 2020, which will cover implementation in 2020, 2021, and beyond.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</si>
</sst>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0.0"/>
    <numFmt numFmtId="165" formatCode="_(* #,##0_);_(* \(#,##0\);_(* &quot;-&quot;??_);_(@_)"/>
    <numFmt numFmtId="166" formatCode="_(* #,##0.0_);_(* \(#,##0.0\);_(* &quot;-&quot;?_);_(@_)"/>
    <numFmt numFmtId="167" formatCode="_(* #,##0.0_);_(* \(#,##0.0\);_(* &quot;-&quot;??_);_(@_)"/>
    <numFmt numFmtId="168" formatCode="0.000"/>
    <numFmt numFmtId="169" formatCode="_-[$€-2]* #,##0.00_-;\-[$€-2]* #,##0.00_-;_-[$€-2]* &quot;-&quot;??_-"/>
    <numFmt numFmtId="170" formatCode="_-* #,##0.00\ _€_-;\-* #,##0.00\ _€_-;_-* \-??\ _€_-;_-@_-"/>
  </numFmts>
  <fonts count="81">
    <font>
      <sz val="10"/>
      <color theme="1"/>
      <name val="Arial"/>
      <family val="2"/>
    </font>
    <font>
      <b/>
      <sz val="10"/>
      <color theme="1"/>
      <name val="Arial"/>
      <family val="2"/>
    </font>
    <font>
      <b/>
      <sz val="10"/>
      <color rgb="FF7030A0"/>
      <name val="Arial"/>
      <family val="2"/>
    </font>
    <font>
      <u/>
      <sz val="10"/>
      <color theme="10"/>
      <name val="Arial"/>
      <family val="2"/>
    </font>
    <font>
      <sz val="12"/>
      <color theme="1"/>
      <name val="Calibri"/>
      <family val="2"/>
      <scheme val="minor"/>
    </font>
    <font>
      <sz val="11"/>
      <name val="Calibri"/>
      <family val="2"/>
    </font>
    <font>
      <sz val="11"/>
      <color theme="1"/>
      <name val="Calibri"/>
      <family val="2"/>
      <scheme val="minor"/>
    </font>
    <font>
      <sz val="10"/>
      <color rgb="FFFF0000"/>
      <name val="Arial"/>
      <family val="2"/>
    </font>
    <font>
      <sz val="10"/>
      <color theme="4"/>
      <name val="Arial"/>
      <family val="2"/>
    </font>
    <font>
      <sz val="10"/>
      <color theme="1"/>
      <name val="Arial"/>
      <family val="2"/>
    </font>
    <font>
      <sz val="10"/>
      <color theme="1"/>
      <name val="Arial"/>
      <family val="2"/>
      <charset val="2"/>
    </font>
    <font>
      <sz val="10"/>
      <color theme="1"/>
      <name val="Arial"/>
      <family val="1"/>
      <charset val="2"/>
    </font>
    <font>
      <sz val="10"/>
      <color theme="1"/>
      <name val="Symbol"/>
      <family val="1"/>
      <charset val="2"/>
    </font>
    <font>
      <sz val="10"/>
      <name val="Arial"/>
      <family val="2"/>
    </font>
    <font>
      <b/>
      <sz val="10"/>
      <name val="Arial"/>
      <family val="2"/>
    </font>
    <font>
      <b/>
      <sz val="18"/>
      <color rgb="FF7030A0"/>
      <name val="Arial"/>
      <family val="2"/>
    </font>
    <font>
      <b/>
      <sz val="16"/>
      <color rgb="FF7030A0"/>
      <name val="Arial"/>
      <family val="2"/>
    </font>
    <font>
      <sz val="11"/>
      <color theme="1"/>
      <name val="Calibri"/>
      <family val="2"/>
    </font>
    <font>
      <sz val="15"/>
      <color theme="1"/>
      <name val="Arial"/>
      <family val="2"/>
    </font>
    <font>
      <sz val="10"/>
      <name val="Symbol"/>
      <family val="1"/>
      <charset val="2"/>
    </font>
    <font>
      <sz val="7"/>
      <name val="Symbol"/>
      <family val="1"/>
      <charset val="2"/>
    </font>
    <font>
      <b/>
      <sz val="10"/>
      <color theme="4"/>
      <name val="Arial"/>
      <family val="2"/>
    </font>
    <font>
      <sz val="9.5"/>
      <color rgb="FF4472C4"/>
      <name val="ArialMT"/>
    </font>
    <font>
      <b/>
      <sz val="9.5"/>
      <color rgb="FF4472C4"/>
      <name val="ArialMT"/>
    </font>
    <font>
      <sz val="10"/>
      <color rgb="FF4472C4"/>
      <name val="Arial"/>
      <family val="2"/>
    </font>
    <font>
      <b/>
      <sz val="10"/>
      <color rgb="FFFF0000"/>
      <name val="Arial"/>
      <family val="2"/>
    </font>
    <font>
      <b/>
      <sz val="11"/>
      <color theme="1"/>
      <name val="Calibri"/>
      <family val="2"/>
    </font>
    <font>
      <b/>
      <sz val="11"/>
      <name val="Calibri"/>
      <family val="2"/>
    </font>
    <font>
      <sz val="10"/>
      <color rgb="FFC00000"/>
      <name val="Arial"/>
      <family val="2"/>
    </font>
    <font>
      <sz val="6"/>
      <name val="Arial"/>
      <family val="2"/>
    </font>
    <font>
      <sz val="10"/>
      <color theme="1"/>
      <name val="ArialMT"/>
    </font>
    <font>
      <sz val="10"/>
      <color theme="1"/>
      <name val="Wingdings"/>
      <charset val="2"/>
    </font>
    <font>
      <sz val="10.4"/>
      <color theme="1"/>
      <name val="Arial"/>
      <family val="2"/>
    </font>
    <font>
      <b/>
      <sz val="10"/>
      <color theme="1"/>
      <name val="Symbol"/>
      <family val="1"/>
      <charset val="2"/>
    </font>
    <font>
      <sz val="8"/>
      <color theme="1"/>
      <name val="Arial"/>
      <family val="2"/>
    </font>
    <font>
      <sz val="7"/>
      <color theme="1"/>
      <name val="Arial"/>
      <family val="2"/>
    </font>
    <font>
      <sz val="7"/>
      <color theme="1"/>
      <name val="Arial"/>
      <family val="2"/>
      <charset val="2"/>
    </font>
    <font>
      <b/>
      <sz val="10"/>
      <name val="Symbol"/>
      <family val="1"/>
      <charset val="2"/>
    </font>
    <font>
      <u/>
      <sz val="10"/>
      <color rgb="FFFF0000"/>
      <name val="Arial"/>
      <family val="2"/>
    </font>
    <font>
      <b/>
      <sz val="11"/>
      <name val="Calibri"/>
      <family val="2"/>
      <scheme val="minor"/>
    </font>
    <font>
      <sz val="7"/>
      <name val="Arial"/>
      <family val="2"/>
    </font>
    <font>
      <b/>
      <sz val="10"/>
      <color rgb="FF7030A0"/>
      <name val="HelveticaNeueLT Std"/>
      <family val="2"/>
    </font>
    <font>
      <sz val="9"/>
      <color theme="1"/>
      <name val="Arial"/>
      <family val="2"/>
    </font>
    <font>
      <b/>
      <sz val="9"/>
      <color theme="1"/>
      <name val="Arial"/>
      <family val="2"/>
    </font>
    <font>
      <i/>
      <sz val="10"/>
      <color rgb="FF7030A0"/>
      <name val="HelveticaNeueLT Std"/>
    </font>
    <font>
      <b/>
      <sz val="8.5"/>
      <name val="Arial"/>
      <family val="2"/>
    </font>
    <font>
      <b/>
      <i/>
      <sz val="8.5"/>
      <name val="Arial"/>
      <family val="2"/>
    </font>
    <font>
      <sz val="8.5"/>
      <color theme="1"/>
      <name val="Arial"/>
      <family val="2"/>
    </font>
    <font>
      <b/>
      <sz val="8.5"/>
      <color theme="1"/>
      <name val="Arial"/>
      <family val="2"/>
    </font>
    <font>
      <u/>
      <sz val="10"/>
      <name val="Arial"/>
      <family val="2"/>
    </font>
    <font>
      <b/>
      <u/>
      <sz val="10"/>
      <name val="Arial"/>
      <family val="2"/>
    </font>
    <font>
      <strike/>
      <u/>
      <sz val="10"/>
      <name val="Arial"/>
      <family val="2"/>
    </font>
    <font>
      <sz val="10"/>
      <color rgb="FF000000"/>
      <name val="Arial"/>
      <family val="2"/>
    </font>
    <font>
      <sz val="15"/>
      <color rgb="FFFF0000"/>
      <name val="Arial"/>
      <family val="2"/>
    </font>
    <font>
      <b/>
      <sz val="11"/>
      <color theme="1"/>
      <name val="Arial"/>
      <family val="2"/>
    </font>
    <font>
      <b/>
      <sz val="11"/>
      <color theme="1"/>
      <name val="Calibri"/>
      <family val="2"/>
      <scheme val="minor"/>
    </font>
    <font>
      <sz val="11"/>
      <color theme="1"/>
      <name val="Arial"/>
      <family val="2"/>
    </font>
    <font>
      <sz val="11"/>
      <color rgb="FFFF0000"/>
      <name val="Calibri"/>
      <family val="2"/>
      <scheme val="minor"/>
    </font>
    <font>
      <sz val="10"/>
      <color theme="5"/>
      <name val="Arial"/>
      <family val="2"/>
    </font>
    <font>
      <sz val="9"/>
      <color rgb="FFFF0000"/>
      <name val="Arial"/>
      <family val="2"/>
    </font>
    <font>
      <b/>
      <sz val="9"/>
      <color rgb="FFFF0000"/>
      <name val="Arial"/>
      <family val="2"/>
    </font>
    <font>
      <sz val="11"/>
      <name val="Calibri"/>
      <family val="2"/>
      <charset val="238"/>
      <scheme val="minor"/>
    </font>
    <font>
      <sz val="10"/>
      <color rgb="FF7030A0"/>
      <name val="Arial"/>
      <family val="2"/>
    </font>
    <font>
      <sz val="6.6"/>
      <color theme="1"/>
      <name val="Arial"/>
      <family val="2"/>
    </font>
    <font>
      <sz val="10"/>
      <color theme="1"/>
      <name val="Calibri"/>
      <family val="2"/>
    </font>
    <font>
      <vertAlign val="superscript"/>
      <sz val="9"/>
      <color theme="1"/>
      <name val="Arial"/>
      <family val="2"/>
    </font>
    <font>
      <vertAlign val="superscript"/>
      <sz val="10"/>
      <color theme="1"/>
      <name val="Arial"/>
      <family val="2"/>
    </font>
    <font>
      <sz val="10"/>
      <name val="Arial"/>
      <family val="2"/>
      <charset val="2"/>
    </font>
    <font>
      <b/>
      <sz val="10"/>
      <color indexed="8"/>
      <name val="Arial"/>
      <family val="2"/>
    </font>
    <font>
      <sz val="11"/>
      <color theme="1"/>
      <name val="Calibri"/>
      <family val="2"/>
      <charset val="238"/>
      <scheme val="minor"/>
    </font>
    <font>
      <sz val="11"/>
      <name val="Calibri"/>
      <family val="2"/>
    </font>
    <font>
      <sz val="10"/>
      <name val="Courier"/>
      <family val="3"/>
    </font>
    <font>
      <sz val="10"/>
      <name val="MS Sans Serif"/>
      <family val="2"/>
    </font>
    <font>
      <u/>
      <sz val="11"/>
      <color theme="10"/>
      <name val="Calibri"/>
      <family val="2"/>
    </font>
    <font>
      <sz val="10"/>
      <name val="Arial Cyr"/>
      <family val="2"/>
    </font>
    <font>
      <sz val="8"/>
      <name val="Arial"/>
      <family val="2"/>
    </font>
    <font>
      <sz val="11"/>
      <color theme="1"/>
      <name val="Calibri"/>
      <family val="2"/>
      <charset val="204"/>
      <scheme val="minor"/>
    </font>
    <font>
      <sz val="10"/>
      <color indexed="62"/>
      <name val="Arial Cyr"/>
      <family val="2"/>
      <charset val="204"/>
    </font>
    <font>
      <sz val="11"/>
      <color rgb="FF000000"/>
      <name val="Calibri"/>
      <family val="2"/>
      <charset val="1"/>
    </font>
    <font>
      <sz val="8"/>
      <color rgb="FF1E1E1E"/>
      <name val="Segoe UI"/>
      <family val="2"/>
    </font>
    <font>
      <sz val="10"/>
      <color theme="0"/>
      <name val="Arial"/>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bgColor indexed="64"/>
      </patternFill>
    </fill>
    <fill>
      <patternFill patternType="solid">
        <fgColor theme="8"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2"/>
        <bgColor indexed="64"/>
      </patternFill>
    </fill>
    <fill>
      <patternFill patternType="solid">
        <fgColor theme="9"/>
        <bgColor indexed="64"/>
      </patternFill>
    </fill>
    <fill>
      <patternFill patternType="solid">
        <fgColor rgb="FFFFC000"/>
        <bgColor indexed="64"/>
      </patternFill>
    </fill>
    <fill>
      <patternFill patternType="solid">
        <fgColor indexed="43"/>
      </patternFill>
    </fill>
  </fills>
  <borders count="2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theme="4" tint="0.3999755851924192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top style="medium">
        <color auto="1"/>
      </top>
      <bottom/>
      <diagonal/>
    </border>
    <border>
      <left/>
      <right/>
      <top/>
      <bottom style="medium">
        <color auto="1"/>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indexed="64"/>
      </top>
      <bottom style="thin">
        <color indexed="64"/>
      </bottom>
      <diagonal/>
    </border>
    <border>
      <left/>
      <right/>
      <top style="thin">
        <color indexed="64"/>
      </top>
      <bottom/>
      <diagonal/>
    </border>
  </borders>
  <cellStyleXfs count="45">
    <xf numFmtId="0" fontId="0" fillId="0" borderId="0"/>
    <xf numFmtId="0" fontId="3" fillId="0" borderId="0" applyNumberFormat="0" applyFill="0" applyBorder="0" applyAlignment="0" applyProtection="0"/>
    <xf numFmtId="0" fontId="4" fillId="0" borderId="0"/>
    <xf numFmtId="0" fontId="5" fillId="0" borderId="0"/>
    <xf numFmtId="0" fontId="6"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0" fontId="9" fillId="0" borderId="0"/>
    <xf numFmtId="0" fontId="9" fillId="0" borderId="0"/>
    <xf numFmtId="0" fontId="3" fillId="0" borderId="0" applyNumberFormat="0" applyFill="0" applyBorder="0" applyAlignment="0" applyProtection="0"/>
    <xf numFmtId="43" fontId="9" fillId="0" borderId="0" applyFont="0" applyFill="0" applyBorder="0" applyAlignment="0" applyProtection="0"/>
    <xf numFmtId="0" fontId="69" fillId="0" borderId="0"/>
    <xf numFmtId="0" fontId="69" fillId="0" borderId="0"/>
    <xf numFmtId="0" fontId="70" fillId="0" borderId="0"/>
    <xf numFmtId="14" fontId="71" fillId="0" borderId="0" applyProtection="0">
      <alignment vertical="center"/>
    </xf>
    <xf numFmtId="6" fontId="72" fillId="0" borderId="0" applyFont="0" applyFill="0" applyBorder="0" applyAlignment="0" applyProtection="0"/>
    <xf numFmtId="43" fontId="9" fillId="0" borderId="0" applyFont="0" applyFill="0" applyBorder="0" applyAlignment="0" applyProtection="0"/>
    <xf numFmtId="0" fontId="73" fillId="0" borderId="0" applyNumberFormat="0" applyFill="0" applyBorder="0" applyAlignment="0" applyProtection="0">
      <alignment vertical="top"/>
      <protection locked="0"/>
    </xf>
    <xf numFmtId="169" fontId="74" fillId="0" borderId="0"/>
    <xf numFmtId="39" fontId="71" fillId="0" borderId="0"/>
    <xf numFmtId="0" fontId="6" fillId="0" borderId="0"/>
    <xf numFmtId="0" fontId="9" fillId="0" borderId="0"/>
    <xf numFmtId="0" fontId="9" fillId="0" borderId="0"/>
    <xf numFmtId="0" fontId="75" fillId="0" borderId="0"/>
    <xf numFmtId="0" fontId="76" fillId="0" borderId="0"/>
    <xf numFmtId="0" fontId="13" fillId="0" borderId="0"/>
    <xf numFmtId="0" fontId="13" fillId="0" borderId="0"/>
    <xf numFmtId="0" fontId="13" fillId="0" borderId="0"/>
    <xf numFmtId="0" fontId="76" fillId="0" borderId="0"/>
    <xf numFmtId="0" fontId="75" fillId="0" borderId="0"/>
    <xf numFmtId="0" fontId="77" fillId="20" borderId="16" applyNumberFormat="0" applyAlignment="0" applyProtection="0"/>
    <xf numFmtId="0" fontId="13" fillId="0" borderId="0"/>
    <xf numFmtId="0" fontId="13" fillId="0" borderId="0"/>
    <xf numFmtId="0" fontId="70" fillId="0" borderId="0"/>
    <xf numFmtId="0" fontId="9" fillId="0" borderId="0"/>
    <xf numFmtId="170" fontId="78" fillId="0" borderId="0" applyBorder="0" applyProtection="0"/>
    <xf numFmtId="0" fontId="5"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cellStyleXfs>
  <cellXfs count="1376">
    <xf numFmtId="0" fontId="0" fillId="0" borderId="0" xfId="0"/>
    <xf numFmtId="0" fontId="0" fillId="2" borderId="1" xfId="0" applyFill="1" applyBorder="1" applyAlignment="1">
      <alignment vertical="center"/>
    </xf>
    <xf numFmtId="0" fontId="0" fillId="2" borderId="1" xfId="0" applyFill="1" applyBorder="1"/>
    <xf numFmtId="0" fontId="0" fillId="2" borderId="0" xfId="0" applyFill="1" applyAlignment="1">
      <alignment vertical="center"/>
    </xf>
    <xf numFmtId="0" fontId="0" fillId="2" borderId="1" xfId="0" applyFill="1" applyBorder="1" applyAlignment="1">
      <alignment vertical="center" wrapText="1"/>
    </xf>
    <xf numFmtId="0" fontId="0" fillId="2" borderId="1" xfId="0" applyFill="1" applyBorder="1" applyAlignment="1">
      <alignment wrapText="1"/>
    </xf>
    <xf numFmtId="0" fontId="0" fillId="2" borderId="0" xfId="0" applyFill="1" applyAlignment="1">
      <alignment horizontal="left" vertical="center"/>
    </xf>
    <xf numFmtId="0" fontId="0" fillId="2" borderId="0" xfId="0" applyFill="1" applyAlignment="1">
      <alignment horizontal="left" indent="1"/>
    </xf>
    <xf numFmtId="0" fontId="0" fillId="5" borderId="2" xfId="0" applyFill="1" applyBorder="1" applyAlignment="1">
      <alignment vertical="center"/>
    </xf>
    <xf numFmtId="0" fontId="0" fillId="5" borderId="2" xfId="0" applyFill="1" applyBorder="1"/>
    <xf numFmtId="0" fontId="0" fillId="2" borderId="0" xfId="0" applyFill="1" applyBorder="1" applyAlignment="1">
      <alignment horizontal="left" vertical="center" wrapText="1"/>
    </xf>
    <xf numFmtId="1" fontId="0" fillId="5" borderId="1" xfId="0" applyNumberFormat="1"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wrapText="1"/>
    </xf>
    <xf numFmtId="0" fontId="0" fillId="2" borderId="2" xfId="0" applyFill="1" applyBorder="1" applyAlignment="1">
      <alignment vertical="center" wrapText="1"/>
    </xf>
    <xf numFmtId="0" fontId="0" fillId="2" borderId="2" xfId="0" applyFill="1" applyBorder="1" applyAlignment="1">
      <alignment vertical="center"/>
    </xf>
    <xf numFmtId="0" fontId="0" fillId="2" borderId="2" xfId="0" applyFill="1" applyBorder="1" applyAlignment="1">
      <alignment horizontal="left" vertical="center"/>
    </xf>
    <xf numFmtId="164" fontId="0" fillId="5" borderId="1" xfId="0" applyNumberFormat="1" applyFill="1" applyBorder="1" applyAlignment="1">
      <alignment horizontal="center" vertical="center"/>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vertical="center" wrapText="1"/>
    </xf>
    <xf numFmtId="0" fontId="0" fillId="5" borderId="1" xfId="0" applyFill="1" applyBorder="1" applyAlignment="1">
      <alignment vertical="center" wrapText="1"/>
    </xf>
    <xf numFmtId="0" fontId="0" fillId="5" borderId="2" xfId="0" applyFill="1" applyBorder="1" applyAlignment="1">
      <alignment horizontal="left" vertical="center"/>
    </xf>
    <xf numFmtId="0" fontId="0" fillId="5" borderId="1" xfId="0" applyFill="1" applyBorder="1" applyAlignment="1">
      <alignment horizontal="left" vertical="center"/>
    </xf>
    <xf numFmtId="0" fontId="7" fillId="5" borderId="1" xfId="0" applyFont="1" applyFill="1" applyBorder="1" applyAlignment="1">
      <alignment horizontal="left" vertical="center" wrapText="1"/>
    </xf>
    <xf numFmtId="0" fontId="3" fillId="5" borderId="2" xfId="1" applyFill="1" applyBorder="1" applyAlignment="1">
      <alignment horizontal="left" vertical="center" wrapText="1"/>
    </xf>
    <xf numFmtId="0" fontId="3" fillId="5" borderId="1" xfId="1" applyFill="1" applyBorder="1" applyAlignment="1">
      <alignment horizontal="left" vertical="center" wrapText="1"/>
    </xf>
    <xf numFmtId="0" fontId="3" fillId="5" borderId="0" xfId="1" applyFill="1" applyBorder="1" applyAlignment="1">
      <alignment horizontal="left" vertical="center" wrapText="1"/>
    </xf>
    <xf numFmtId="0" fontId="0" fillId="5" borderId="0" xfId="0" applyFill="1" applyBorder="1" applyAlignment="1">
      <alignment horizontal="left" vertical="center" wrapText="1"/>
    </xf>
    <xf numFmtId="0" fontId="7" fillId="5" borderId="0" xfId="0" applyFont="1" applyFill="1" applyBorder="1" applyAlignment="1">
      <alignment horizontal="left" vertical="center" wrapText="1"/>
    </xf>
    <xf numFmtId="0" fontId="0" fillId="5" borderId="0" xfId="0" applyFill="1" applyBorder="1" applyAlignment="1">
      <alignment vertical="center" wrapText="1"/>
    </xf>
    <xf numFmtId="0" fontId="0" fillId="5" borderId="1" xfId="0" applyFill="1" applyBorder="1" applyAlignment="1">
      <alignment horizontal="left" vertical="center" textRotation="90"/>
    </xf>
    <xf numFmtId="0" fontId="0" fillId="5" borderId="0" xfId="0" applyFill="1" applyBorder="1" applyAlignment="1">
      <alignment horizontal="left" vertical="center" textRotation="90"/>
    </xf>
    <xf numFmtId="0" fontId="0" fillId="2" borderId="0" xfId="0" applyFill="1" applyBorder="1"/>
    <xf numFmtId="1" fontId="0" fillId="5" borderId="0" xfId="0" applyNumberFormat="1" applyFill="1" applyBorder="1" applyAlignment="1">
      <alignment horizontal="left" vertical="center"/>
    </xf>
    <xf numFmtId="0" fontId="0" fillId="2" borderId="0" xfId="0" applyFill="1" applyBorder="1" applyAlignment="1">
      <alignment horizontal="left" vertical="center"/>
    </xf>
    <xf numFmtId="0" fontId="0" fillId="5" borderId="0" xfId="0" applyFill="1" applyBorder="1" applyAlignment="1">
      <alignment horizontal="left" vertical="center"/>
    </xf>
    <xf numFmtId="0" fontId="0" fillId="2" borderId="0" xfId="0" applyFill="1" applyBorder="1" applyAlignment="1">
      <alignment vertical="center" wrapText="1"/>
    </xf>
    <xf numFmtId="0" fontId="0" fillId="5" borderId="2" xfId="0" applyFill="1" applyBorder="1" applyAlignment="1">
      <alignment horizontal="left" vertical="center" textRotation="90"/>
    </xf>
    <xf numFmtId="0" fontId="0" fillId="5" borderId="0" xfId="0" applyFill="1" applyBorder="1" applyAlignment="1">
      <alignment vertical="center"/>
    </xf>
    <xf numFmtId="0" fontId="0" fillId="2" borderId="0" xfId="0" applyFill="1" applyBorder="1" applyAlignment="1">
      <alignment vertical="center"/>
    </xf>
    <xf numFmtId="0" fontId="0" fillId="5" borderId="0" xfId="0" applyFill="1" applyBorder="1"/>
    <xf numFmtId="0" fontId="0" fillId="2" borderId="0" xfId="0"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horizontal="left" vertical="center"/>
    </xf>
    <xf numFmtId="0" fontId="0" fillId="2" borderId="0" xfId="0" applyFill="1" applyBorder="1" applyAlignment="1">
      <alignment horizontal="left" vertical="center" textRotation="90"/>
    </xf>
    <xf numFmtId="0" fontId="0" fillId="4" borderId="0" xfId="0" applyFill="1" applyBorder="1" applyAlignment="1">
      <alignment horizontal="left" vertical="center" wrapText="1"/>
    </xf>
    <xf numFmtId="0" fontId="0" fillId="4" borderId="0" xfId="0" applyFill="1" applyBorder="1" applyAlignment="1">
      <alignment horizontal="left" vertical="center"/>
    </xf>
    <xf numFmtId="0" fontId="3" fillId="5" borderId="0" xfId="1" applyFill="1" applyBorder="1" applyAlignment="1">
      <alignment horizontal="left"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textRotation="90"/>
    </xf>
    <xf numFmtId="0" fontId="0" fillId="2" borderId="1" xfId="0" applyFill="1" applyBorder="1" applyAlignment="1">
      <alignment horizontal="left" vertical="center" wrapText="1"/>
    </xf>
    <xf numFmtId="0" fontId="0" fillId="2" borderId="1" xfId="0" applyFill="1" applyBorder="1" applyAlignment="1">
      <alignment vertical="center"/>
    </xf>
    <xf numFmtId="0" fontId="0" fillId="5" borderId="1" xfId="0" applyFill="1" applyBorder="1" applyAlignment="1">
      <alignment horizontal="left" vertical="center" textRotation="90"/>
    </xf>
    <xf numFmtId="0" fontId="0" fillId="5" borderId="0" xfId="0" applyFill="1" applyBorder="1" applyAlignment="1">
      <alignment horizontal="left" vertical="center" textRotation="90"/>
    </xf>
    <xf numFmtId="0" fontId="0" fillId="2" borderId="0" xfId="0" applyFill="1" applyBorder="1" applyAlignment="1">
      <alignment vertical="center"/>
    </xf>
    <xf numFmtId="0" fontId="0" fillId="5" borderId="2" xfId="0" applyFill="1" applyBorder="1" applyAlignment="1">
      <alignment horizontal="left" vertical="center" wrapText="1"/>
    </xf>
    <xf numFmtId="0" fontId="0" fillId="5" borderId="1" xfId="0" applyFill="1" applyBorder="1" applyAlignment="1">
      <alignment horizontal="left" vertical="center"/>
    </xf>
    <xf numFmtId="0" fontId="0" fillId="5" borderId="0" xfId="0" applyFill="1" applyBorder="1" applyAlignment="1">
      <alignment horizontal="left" vertical="center"/>
    </xf>
    <xf numFmtId="0" fontId="7" fillId="5" borderId="1" xfId="0" applyFont="1" applyFill="1" applyBorder="1" applyAlignment="1">
      <alignment vertical="center" wrapText="1"/>
    </xf>
    <xf numFmtId="0" fontId="7" fillId="5" borderId="0" xfId="0" applyFont="1" applyFill="1" applyBorder="1" applyAlignment="1">
      <alignment vertical="center" wrapText="1"/>
    </xf>
    <xf numFmtId="0" fontId="0" fillId="2" borderId="1" xfId="0" applyFill="1" applyBorder="1" applyAlignment="1">
      <alignment vertical="center" wrapText="1"/>
    </xf>
    <xf numFmtId="164" fontId="0" fillId="5" borderId="2" xfId="0" applyNumberFormat="1" applyFill="1" applyBorder="1" applyAlignment="1">
      <alignment horizontal="center" vertical="center"/>
    </xf>
    <xf numFmtId="164" fontId="8" fillId="5" borderId="0"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164" fontId="0" fillId="5" borderId="2" xfId="0" applyNumberFormat="1" applyFill="1" applyBorder="1" applyAlignment="1">
      <alignment horizontal="center" vertical="center" wrapText="1"/>
    </xf>
    <xf numFmtId="164" fontId="2" fillId="2" borderId="0"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164" fontId="0" fillId="5" borderId="0" xfId="0" applyNumberFormat="1" applyFill="1" applyBorder="1" applyAlignment="1">
      <alignment horizontal="center" vertical="center" wrapText="1"/>
    </xf>
    <xf numFmtId="164" fontId="0" fillId="2" borderId="0" xfId="0" applyNumberFormat="1" applyFill="1" applyBorder="1" applyAlignment="1">
      <alignment horizontal="center" vertical="center"/>
    </xf>
    <xf numFmtId="164" fontId="0" fillId="2" borderId="0" xfId="5" applyNumberFormat="1" applyFont="1" applyFill="1" applyBorder="1" applyAlignment="1">
      <alignment horizontal="center" vertical="center"/>
    </xf>
    <xf numFmtId="164" fontId="0" fillId="2" borderId="1" xfId="5" applyNumberFormat="1" applyFont="1" applyFill="1" applyBorder="1" applyAlignment="1">
      <alignment horizontal="center" vertical="center"/>
    </xf>
    <xf numFmtId="164" fontId="0" fillId="5" borderId="0" xfId="5" applyNumberFormat="1" applyFont="1" applyFill="1" applyBorder="1" applyAlignment="1">
      <alignment horizontal="center" vertical="center" wrapText="1"/>
    </xf>
    <xf numFmtId="164" fontId="8" fillId="5" borderId="0" xfId="5" applyNumberFormat="1" applyFont="1" applyFill="1" applyBorder="1" applyAlignment="1">
      <alignment horizontal="center" vertical="center"/>
    </xf>
    <xf numFmtId="164" fontId="8" fillId="5" borderId="1" xfId="5" applyNumberFormat="1" applyFont="1" applyFill="1" applyBorder="1" applyAlignment="1">
      <alignment horizontal="center" vertical="center"/>
    </xf>
    <xf numFmtId="164" fontId="0" fillId="5" borderId="2" xfId="5" applyNumberFormat="1" applyFont="1" applyFill="1" applyBorder="1" applyAlignment="1">
      <alignment horizontal="center" vertical="center"/>
    </xf>
    <xf numFmtId="164" fontId="0" fillId="5" borderId="0" xfId="5" applyNumberFormat="1" applyFont="1" applyFill="1" applyBorder="1" applyAlignment="1">
      <alignment horizontal="center" vertical="center"/>
    </xf>
    <xf numFmtId="164" fontId="0" fillId="5" borderId="1" xfId="5" applyNumberFormat="1" applyFont="1" applyFill="1" applyBorder="1" applyAlignment="1">
      <alignment horizontal="center" vertical="center"/>
    </xf>
    <xf numFmtId="164" fontId="0" fillId="5" borderId="2" xfId="5" applyNumberFormat="1" applyFont="1" applyFill="1" applyBorder="1" applyAlignment="1">
      <alignment horizontal="center" vertical="center" wrapText="1"/>
    </xf>
    <xf numFmtId="164" fontId="7" fillId="5" borderId="2" xfId="5" applyNumberFormat="1" applyFont="1" applyFill="1" applyBorder="1" applyAlignment="1">
      <alignment horizontal="center" vertical="center" wrapText="1"/>
    </xf>
    <xf numFmtId="164" fontId="0" fillId="5" borderId="1" xfId="0" applyNumberFormat="1" applyFill="1" applyBorder="1" applyAlignment="1">
      <alignment horizontal="center" vertical="center" wrapText="1"/>
    </xf>
    <xf numFmtId="164" fontId="0" fillId="5" borderId="0" xfId="0" applyNumberFormat="1" applyFill="1" applyBorder="1" applyAlignment="1">
      <alignment horizontal="center" vertical="center"/>
    </xf>
    <xf numFmtId="164" fontId="0" fillId="2" borderId="1" xfId="5" applyNumberFormat="1" applyFont="1" applyFill="1" applyBorder="1" applyAlignment="1">
      <alignment horizontal="center" vertical="center" wrapText="1"/>
    </xf>
    <xf numFmtId="0" fontId="0" fillId="2" borderId="0" xfId="0" applyFill="1" applyBorder="1" applyAlignment="1">
      <alignment horizontal="left" vertical="center" wrapText="1"/>
    </xf>
    <xf numFmtId="0" fontId="0" fillId="2" borderId="0" xfId="0" applyFill="1" applyBorder="1" applyAlignment="1">
      <alignment horizontal="left" vertical="center" wrapText="1"/>
    </xf>
    <xf numFmtId="0" fontId="0" fillId="5" borderId="0"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applyBorder="1" applyAlignment="1">
      <alignment horizontal="left" vertical="center" textRotation="90"/>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0" fillId="2" borderId="2" xfId="0" applyFill="1" applyBorder="1" applyAlignment="1">
      <alignment horizontal="left" vertical="center" wrapText="1"/>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textRotation="90"/>
    </xf>
    <xf numFmtId="0" fontId="3" fillId="5" borderId="0" xfId="1" applyFill="1" applyBorder="1" applyAlignment="1">
      <alignment horizontal="left" vertical="center" wrapText="1"/>
    </xf>
    <xf numFmtId="164" fontId="0" fillId="2" borderId="1" xfId="0" applyNumberFormat="1" applyFill="1" applyBorder="1" applyAlignment="1">
      <alignment horizontal="center" vertical="center" wrapText="1"/>
    </xf>
    <xf numFmtId="1" fontId="0" fillId="5" borderId="2" xfId="0" applyNumberFormat="1" applyFill="1" applyBorder="1" applyAlignment="1">
      <alignment horizontal="center" vertical="center"/>
    </xf>
    <xf numFmtId="1" fontId="0" fillId="5" borderId="0" xfId="0" applyNumberFormat="1" applyFill="1" applyBorder="1" applyAlignment="1">
      <alignment horizontal="center" vertical="center"/>
    </xf>
    <xf numFmtId="1" fontId="0" fillId="5" borderId="1" xfId="0" applyNumberFormat="1" applyFill="1" applyBorder="1" applyAlignment="1">
      <alignment horizontal="center" vertical="center"/>
    </xf>
    <xf numFmtId="1" fontId="13" fillId="5" borderId="2" xfId="0" applyNumberFormat="1" applyFont="1" applyFill="1" applyBorder="1" applyAlignment="1">
      <alignment horizontal="center" vertical="center"/>
    </xf>
    <xf numFmtId="0" fontId="0" fillId="5" borderId="0" xfId="0" applyFill="1" applyAlignment="1">
      <alignment horizontal="center" vertical="center"/>
    </xf>
    <xf numFmtId="0" fontId="0" fillId="2" borderId="1" xfId="0" applyFill="1" applyBorder="1" applyAlignment="1">
      <alignment horizontal="center" vertical="center"/>
    </xf>
    <xf numFmtId="0" fontId="1" fillId="6" borderId="0" xfId="0" applyFont="1" applyFill="1" applyBorder="1" applyAlignment="1">
      <alignment horizontal="left" vertical="center"/>
    </xf>
    <xf numFmtId="0" fontId="0" fillId="6" borderId="0" xfId="0" applyFill="1" applyBorder="1" applyAlignment="1">
      <alignment vertical="center"/>
    </xf>
    <xf numFmtId="164" fontId="1" fillId="6" borderId="0" xfId="0" applyNumberFormat="1" applyFont="1" applyFill="1" applyBorder="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0" fillId="6" borderId="0" xfId="0" applyFill="1" applyBorder="1" applyAlignment="1">
      <alignment horizontal="left" vertical="center"/>
    </xf>
    <xf numFmtId="164" fontId="0" fillId="6" borderId="0" xfId="5" applyNumberFormat="1" applyFont="1" applyFill="1" applyBorder="1" applyAlignment="1">
      <alignment horizontal="center" vertical="center"/>
    </xf>
    <xf numFmtId="164" fontId="0" fillId="6" borderId="0" xfId="0" applyNumberFormat="1" applyFill="1" applyBorder="1" applyAlignment="1">
      <alignment horizontal="center" vertical="center"/>
    </xf>
    <xf numFmtId="1" fontId="0" fillId="5" borderId="2" xfId="0" applyNumberFormat="1" applyFill="1" applyBorder="1" applyAlignment="1">
      <alignment horizontal="center" vertical="center" wrapText="1"/>
    </xf>
    <xf numFmtId="1" fontId="0" fillId="5" borderId="2" xfId="5" applyNumberFormat="1" applyFont="1" applyFill="1" applyBorder="1" applyAlignment="1">
      <alignment horizontal="center" vertical="center" wrapText="1"/>
    </xf>
    <xf numFmtId="1" fontId="0" fillId="5" borderId="0" xfId="0" applyNumberFormat="1" applyFill="1" applyBorder="1" applyAlignment="1">
      <alignment horizontal="center" vertical="center" wrapText="1"/>
    </xf>
    <xf numFmtId="1" fontId="13" fillId="5" borderId="2" xfId="0" applyNumberFormat="1" applyFont="1" applyFill="1" applyBorder="1" applyAlignment="1">
      <alignment horizontal="center" vertical="center" wrapText="1"/>
    </xf>
    <xf numFmtId="1" fontId="0" fillId="5" borderId="0" xfId="5" applyNumberFormat="1" applyFont="1" applyFill="1" applyBorder="1" applyAlignment="1">
      <alignment horizontal="center" vertical="center" wrapText="1"/>
    </xf>
    <xf numFmtId="1" fontId="13" fillId="5" borderId="0" xfId="0" applyNumberFormat="1" applyFont="1" applyFill="1" applyBorder="1" applyAlignment="1">
      <alignment horizontal="center" vertical="center" wrapText="1"/>
    </xf>
    <xf numFmtId="1" fontId="0" fillId="5" borderId="2" xfId="5" applyNumberFormat="1" applyFont="1" applyFill="1" applyBorder="1" applyAlignment="1">
      <alignment horizontal="center" vertical="center"/>
    </xf>
    <xf numFmtId="0" fontId="16" fillId="2" borderId="0" xfId="0" applyFont="1" applyFill="1" applyBorder="1" applyAlignment="1">
      <alignment horizontal="left" vertical="center"/>
    </xf>
    <xf numFmtId="164" fontId="0" fillId="2" borderId="0" xfId="0" applyNumberFormat="1" applyFill="1" applyBorder="1" applyAlignment="1">
      <alignment horizontal="left" vertical="center"/>
    </xf>
    <xf numFmtId="0" fontId="0" fillId="2" borderId="0" xfId="0" applyFill="1" applyBorder="1" applyAlignment="1">
      <alignment horizontal="left"/>
    </xf>
    <xf numFmtId="164" fontId="0" fillId="2" borderId="0" xfId="5" applyNumberFormat="1" applyFont="1" applyFill="1" applyBorder="1" applyAlignment="1">
      <alignment horizontal="left" vertical="center"/>
    </xf>
    <xf numFmtId="0" fontId="15" fillId="2" borderId="0" xfId="0" applyFont="1" applyFill="1" applyBorder="1" applyAlignment="1">
      <alignment horizontal="left" vertical="center"/>
    </xf>
    <xf numFmtId="1" fontId="8" fillId="5" borderId="0" xfId="5" applyNumberFormat="1" applyFont="1" applyFill="1" applyBorder="1" applyAlignment="1">
      <alignment horizontal="center" vertical="center"/>
    </xf>
    <xf numFmtId="1" fontId="8" fillId="5" borderId="0" xfId="0" applyNumberFormat="1" applyFont="1" applyFill="1" applyBorder="1" applyAlignment="1">
      <alignment horizontal="center" vertical="center"/>
    </xf>
    <xf numFmtId="164" fontId="8" fillId="5" borderId="0" xfId="5" applyNumberFormat="1" applyFont="1" applyFill="1" applyBorder="1" applyAlignment="1">
      <alignment horizontal="center" vertical="center" wrapText="1"/>
    </xf>
    <xf numFmtId="164" fontId="8" fillId="5" borderId="1" xfId="5" applyNumberFormat="1" applyFont="1" applyFill="1" applyBorder="1" applyAlignment="1">
      <alignment horizontal="center" vertical="center" wrapText="1"/>
    </xf>
    <xf numFmtId="1" fontId="0" fillId="5" borderId="2" xfId="0" applyNumberFormat="1" applyFill="1" applyBorder="1" applyAlignment="1">
      <alignment horizontal="center" vertical="center" wrapText="1"/>
    </xf>
    <xf numFmtId="0" fontId="0" fillId="2"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3" fillId="5" borderId="1" xfId="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5" borderId="2" xfId="0" applyFill="1" applyBorder="1" applyAlignment="1">
      <alignment vertical="center" wrapText="1"/>
    </xf>
    <xf numFmtId="0" fontId="0" fillId="5" borderId="0" xfId="0" applyFill="1" applyBorder="1" applyAlignment="1">
      <alignment horizontal="left" vertical="center" textRotation="90"/>
    </xf>
    <xf numFmtId="0" fontId="0" fillId="2" borderId="0" xfId="0" applyFill="1" applyBorder="1" applyAlignment="1">
      <alignment horizontal="left" vertical="center" wrapText="1"/>
    </xf>
    <xf numFmtId="0" fontId="3" fillId="2" borderId="0" xfId="1" applyFill="1" applyBorder="1" applyAlignment="1">
      <alignment horizontal="left" vertical="center" wrapText="1"/>
    </xf>
    <xf numFmtId="164" fontId="0" fillId="5" borderId="2" xfId="0" applyNumberFormat="1" applyFont="1" applyFill="1" applyBorder="1" applyAlignment="1">
      <alignment horizontal="center" vertical="center" wrapText="1"/>
    </xf>
    <xf numFmtId="0" fontId="0" fillId="2" borderId="0" xfId="0" applyFill="1" applyBorder="1" applyAlignment="1">
      <alignment horizontal="center" vertical="center" wrapText="1"/>
    </xf>
    <xf numFmtId="164" fontId="8" fillId="2" borderId="0" xfId="0" applyNumberFormat="1" applyFont="1" applyFill="1" applyBorder="1" applyAlignment="1">
      <alignment horizontal="center" vertical="center"/>
    </xf>
    <xf numFmtId="0" fontId="7" fillId="2" borderId="0" xfId="0" applyFont="1" applyFill="1" applyBorder="1" applyAlignment="1">
      <alignment horizontal="left" vertical="center" wrapText="1"/>
    </xf>
    <xf numFmtId="164" fontId="0" fillId="2" borderId="0" xfId="0" applyNumberFormat="1" applyFill="1" applyBorder="1" applyAlignment="1">
      <alignment horizontal="center" vertical="center" wrapText="1"/>
    </xf>
    <xf numFmtId="164" fontId="8" fillId="2" borderId="0" xfId="5" applyNumberFormat="1" applyFont="1" applyFill="1" applyBorder="1" applyAlignment="1">
      <alignment horizontal="center" vertical="center"/>
    </xf>
    <xf numFmtId="0" fontId="0" fillId="5" borderId="1" xfId="0" applyFill="1" applyBorder="1" applyAlignment="1">
      <alignment vertical="center"/>
    </xf>
    <xf numFmtId="0" fontId="3" fillId="5" borderId="2" xfId="1" applyFill="1" applyBorder="1" applyAlignment="1">
      <alignment vertical="center" wrapText="1"/>
    </xf>
    <xf numFmtId="0" fontId="3" fillId="5" borderId="0" xfId="1" applyFill="1" applyBorder="1" applyAlignment="1">
      <alignment vertical="center" wrapText="1"/>
    </xf>
    <xf numFmtId="0" fontId="3" fillId="5" borderId="1" xfId="1" applyFill="1" applyBorder="1" applyAlignment="1">
      <alignmen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3" fillId="5" borderId="1" xfId="1" applyFill="1" applyBorder="1" applyAlignment="1">
      <alignment horizontal="left" vertical="center" wrapText="1"/>
    </xf>
    <xf numFmtId="164" fontId="0" fillId="5" borderId="1" xfId="0" applyNumberFormat="1" applyFill="1" applyBorder="1" applyAlignment="1">
      <alignment horizontal="center"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164" fontId="13" fillId="5" borderId="0"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0" fontId="0" fillId="7" borderId="0" xfId="0" applyFill="1"/>
    <xf numFmtId="0" fontId="0" fillId="5" borderId="0" xfId="0" applyFill="1" applyBorder="1" applyAlignment="1">
      <alignment horizontal="left" vertical="center" textRotation="90"/>
    </xf>
    <xf numFmtId="164" fontId="0" fillId="5" borderId="2" xfId="0" applyNumberFormat="1" applyFont="1" applyFill="1" applyBorder="1" applyAlignment="1">
      <alignment horizontal="center" vertical="center" wrapText="1"/>
    </xf>
    <xf numFmtId="1" fontId="0" fillId="5" borderId="2" xfId="0" applyNumberFormat="1" applyFill="1" applyBorder="1" applyAlignment="1">
      <alignment horizontal="center" vertical="center" wrapText="1"/>
    </xf>
    <xf numFmtId="164" fontId="0" fillId="5" borderId="2" xfId="0" applyNumberFormat="1" applyFill="1" applyBorder="1" applyAlignment="1">
      <alignment horizontal="center" vertical="center" wrapText="1"/>
    </xf>
    <xf numFmtId="0" fontId="0" fillId="2" borderId="0" xfId="0" applyFill="1" applyBorder="1" applyAlignment="1">
      <alignment horizontal="left" vertical="center" wrapText="1"/>
    </xf>
    <xf numFmtId="0" fontId="3" fillId="2" borderId="0" xfId="1" applyFill="1" applyBorder="1" applyAlignment="1">
      <alignment horizontal="left" vertical="center" wrapText="1"/>
    </xf>
    <xf numFmtId="0" fontId="0" fillId="5" borderId="0" xfId="0" applyFill="1" applyBorder="1" applyAlignment="1">
      <alignment vertical="center" textRotation="90"/>
    </xf>
    <xf numFmtId="0" fontId="1" fillId="6" borderId="3" xfId="0" applyFont="1" applyFill="1" applyBorder="1" applyAlignment="1">
      <alignment horizontal="left" vertical="center"/>
    </xf>
    <xf numFmtId="1" fontId="0" fillId="2" borderId="0" xfId="0" applyNumberFormat="1" applyFill="1" applyBorder="1" applyAlignment="1">
      <alignment horizontal="center" vertical="center"/>
    </xf>
    <xf numFmtId="0" fontId="0" fillId="2" borderId="0" xfId="0" applyFont="1" applyFill="1" applyBorder="1" applyAlignment="1">
      <alignment horizontal="left" vertical="center" wrapText="1"/>
    </xf>
    <xf numFmtId="165" fontId="13" fillId="5" borderId="2" xfId="5" applyNumberFormat="1" applyFont="1" applyFill="1" applyBorder="1" applyAlignment="1">
      <alignment horizontal="center" vertical="center" wrapText="1"/>
    </xf>
    <xf numFmtId="165" fontId="0" fillId="5" borderId="2" xfId="5" applyNumberFormat="1" applyFont="1" applyFill="1" applyBorder="1" applyAlignment="1">
      <alignment horizontal="center" vertical="center" wrapText="1"/>
    </xf>
    <xf numFmtId="165" fontId="0" fillId="5" borderId="2" xfId="5" applyNumberFormat="1" applyFont="1" applyFill="1" applyBorder="1" applyAlignment="1">
      <alignment horizontal="center" vertical="center"/>
    </xf>
    <xf numFmtId="165" fontId="8" fillId="5" borderId="0" xfId="5" applyNumberFormat="1" applyFont="1" applyFill="1" applyBorder="1" applyAlignment="1">
      <alignment horizontal="center" vertical="center"/>
    </xf>
    <xf numFmtId="165" fontId="13" fillId="5" borderId="2" xfId="5" applyNumberFormat="1" applyFont="1" applyFill="1" applyBorder="1" applyAlignment="1">
      <alignment horizontal="left" vertical="center"/>
    </xf>
    <xf numFmtId="1" fontId="0" fillId="5" borderId="0" xfId="0" applyNumberFormat="1" applyFill="1" applyAlignment="1">
      <alignment horizontal="center" vertical="center" wrapText="1"/>
    </xf>
    <xf numFmtId="1" fontId="8" fillId="5" borderId="2" xfId="0" applyNumberFormat="1" applyFont="1" applyFill="1" applyBorder="1" applyAlignment="1">
      <alignment horizontal="center" vertical="center" wrapText="1"/>
    </xf>
    <xf numFmtId="0" fontId="0" fillId="0" borderId="0" xfId="0" applyAlignment="1">
      <alignment vertical="center" wrapText="1"/>
    </xf>
    <xf numFmtId="1" fontId="13" fillId="5" borderId="0" xfId="5" applyNumberFormat="1" applyFont="1" applyFill="1" applyBorder="1" applyAlignment="1">
      <alignment horizontal="center" vertical="center" wrapText="1"/>
    </xf>
    <xf numFmtId="165" fontId="13" fillId="5" borderId="2" xfId="5" applyNumberFormat="1" applyFont="1" applyFill="1" applyBorder="1" applyAlignment="1">
      <alignment horizontal="left" vertical="center" wrapText="1"/>
    </xf>
    <xf numFmtId="1" fontId="0" fillId="0" borderId="0" xfId="0" applyNumberFormat="1"/>
    <xf numFmtId="0" fontId="0" fillId="2" borderId="0" xfId="0" applyFill="1" applyBorder="1" applyAlignment="1">
      <alignment horizontal="left" vertical="center" wrapText="1"/>
    </xf>
    <xf numFmtId="0" fontId="3" fillId="0" borderId="0" xfId="1" applyAlignment="1">
      <alignment vertical="center"/>
    </xf>
    <xf numFmtId="0" fontId="3" fillId="0" borderId="0" xfId="1"/>
    <xf numFmtId="0" fontId="9" fillId="0" borderId="0" xfId="0" applyFont="1" applyAlignment="1">
      <alignment vertical="center"/>
    </xf>
    <xf numFmtId="164" fontId="0" fillId="5" borderId="0" xfId="0" applyNumberFormat="1" applyFill="1" applyBorder="1" applyAlignment="1">
      <alignment horizontal="center" vertical="center" wrapText="1"/>
    </xf>
    <xf numFmtId="2" fontId="8" fillId="5" borderId="0" xfId="0" applyNumberFormat="1" applyFont="1"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ill="1" applyBorder="1" applyAlignment="1">
      <alignment horizontal="center" vertical="center"/>
    </xf>
    <xf numFmtId="0" fontId="0" fillId="5" borderId="0"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vertical="center" wrapText="1"/>
    </xf>
    <xf numFmtId="0" fontId="0" fillId="5" borderId="0" xfId="0" applyFill="1" applyBorder="1" applyAlignment="1">
      <alignmen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164" fontId="0" fillId="5" borderId="1" xfId="0" applyNumberForma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2" borderId="2" xfId="0" applyFill="1" applyBorder="1"/>
    <xf numFmtId="0" fontId="0" fillId="6" borderId="3" xfId="0" applyFill="1" applyBorder="1" applyAlignment="1">
      <alignment vertical="center"/>
    </xf>
    <xf numFmtId="164" fontId="1" fillId="6" borderId="3" xfId="0" applyNumberFormat="1" applyFont="1" applyFill="1" applyBorder="1" applyAlignment="1">
      <alignment horizontal="center" vertical="center"/>
    </xf>
    <xf numFmtId="0" fontId="0" fillId="6" borderId="3" xfId="0" applyFill="1" applyBorder="1"/>
    <xf numFmtId="0" fontId="0" fillId="6" borderId="3" xfId="0" applyFill="1" applyBorder="1" applyAlignment="1">
      <alignment horizontal="left" vertical="center"/>
    </xf>
    <xf numFmtId="164" fontId="0" fillId="6" borderId="3" xfId="5" applyNumberFormat="1" applyFont="1" applyFill="1" applyBorder="1" applyAlignment="1">
      <alignment horizontal="center" vertical="center"/>
    </xf>
    <xf numFmtId="164" fontId="0" fillId="6" borderId="3" xfId="0" applyNumberFormat="1" applyFill="1" applyBorder="1" applyAlignment="1">
      <alignment horizontal="center" vertical="center"/>
    </xf>
    <xf numFmtId="0" fontId="1" fillId="6" borderId="1" xfId="0" applyFont="1" applyFill="1" applyBorder="1" applyAlignment="1">
      <alignment horizontal="left" vertical="center"/>
    </xf>
    <xf numFmtId="0" fontId="0" fillId="6" borderId="1" xfId="0" applyFill="1" applyBorder="1" applyAlignment="1">
      <alignment vertical="center"/>
    </xf>
    <xf numFmtId="164" fontId="1" fillId="6" borderId="1" xfId="0" applyNumberFormat="1" applyFont="1" applyFill="1" applyBorder="1" applyAlignment="1">
      <alignment horizontal="center" vertical="center"/>
    </xf>
    <xf numFmtId="0" fontId="0" fillId="6" borderId="1" xfId="0" applyFill="1" applyBorder="1"/>
    <xf numFmtId="0" fontId="0" fillId="6" borderId="1" xfId="0" applyFill="1" applyBorder="1" applyAlignment="1">
      <alignment horizontal="center" vertical="center"/>
    </xf>
    <xf numFmtId="0" fontId="0" fillId="6" borderId="1" xfId="0" applyFill="1" applyBorder="1" applyAlignment="1">
      <alignment horizontal="left" vertical="center"/>
    </xf>
    <xf numFmtId="164" fontId="0" fillId="6" borderId="1" xfId="5" applyNumberFormat="1" applyFont="1" applyFill="1" applyBorder="1" applyAlignment="1">
      <alignment horizontal="center" vertical="center"/>
    </xf>
    <xf numFmtId="164" fontId="0" fillId="6" borderId="1" xfId="0" applyNumberFormat="1" applyFill="1" applyBorder="1" applyAlignment="1">
      <alignment horizontal="center" vertical="center"/>
    </xf>
    <xf numFmtId="0" fontId="0" fillId="2" borderId="2" xfId="0" applyFill="1" applyBorder="1" applyAlignment="1">
      <alignment horizontal="left" vertical="center" textRotation="90"/>
    </xf>
    <xf numFmtId="0" fontId="0" fillId="2" borderId="2" xfId="0" applyFill="1" applyBorder="1" applyAlignment="1">
      <alignment horizontal="left" vertical="center" wrapText="1"/>
    </xf>
    <xf numFmtId="164" fontId="0" fillId="2" borderId="0" xfId="0" applyNumberFormat="1" applyFont="1" applyFill="1" applyBorder="1" applyAlignment="1">
      <alignment horizontal="center" vertical="center"/>
    </xf>
    <xf numFmtId="164" fontId="1" fillId="2" borderId="0" xfId="0" applyNumberFormat="1" applyFont="1" applyFill="1" applyBorder="1" applyAlignment="1">
      <alignment horizontal="center" vertical="center"/>
    </xf>
    <xf numFmtId="164" fontId="0" fillId="2" borderId="1" xfId="0" applyNumberFormat="1" applyFont="1" applyFill="1" applyBorder="1" applyAlignment="1">
      <alignment horizontal="center" vertical="center"/>
    </xf>
    <xf numFmtId="164" fontId="0" fillId="2" borderId="1" xfId="0" applyNumberFormat="1" applyFont="1" applyFill="1" applyBorder="1" applyAlignment="1">
      <alignment horizontal="center" vertical="center" wrapText="1"/>
    </xf>
    <xf numFmtId="1" fontId="0" fillId="5" borderId="0" xfId="0" applyNumberFormat="1" applyFont="1" applyFill="1" applyAlignment="1">
      <alignment horizontal="center" vertical="center" wrapText="1"/>
    </xf>
    <xf numFmtId="1" fontId="0" fillId="5" borderId="0" xfId="0" applyNumberFormat="1" applyFont="1" applyFill="1" applyBorder="1" applyAlignment="1">
      <alignment horizontal="center" vertical="center"/>
    </xf>
    <xf numFmtId="164" fontId="0" fillId="5" borderId="1" xfId="0" applyNumberFormat="1" applyFont="1" applyFill="1" applyBorder="1" applyAlignment="1">
      <alignment horizontal="center" vertical="center"/>
    </xf>
    <xf numFmtId="1" fontId="0" fillId="5" borderId="2" xfId="0" applyNumberFormat="1" applyFont="1" applyFill="1" applyBorder="1" applyAlignment="1">
      <alignment horizontal="center" vertical="center"/>
    </xf>
    <xf numFmtId="165" fontId="0" fillId="5" borderId="2" xfId="5" applyNumberFormat="1" applyFont="1" applyFill="1" applyBorder="1" applyAlignment="1">
      <alignment horizontal="left" vertical="center"/>
    </xf>
    <xf numFmtId="1" fontId="0" fillId="5" borderId="2" xfId="0" applyNumberFormat="1" applyFont="1" applyFill="1" applyBorder="1" applyAlignment="1">
      <alignment horizontal="center" vertical="center" wrapText="1"/>
    </xf>
    <xf numFmtId="165" fontId="0" fillId="5" borderId="0" xfId="5" applyNumberFormat="1" applyFont="1" applyFill="1" applyBorder="1" applyAlignment="1">
      <alignment horizontal="center" vertical="center"/>
    </xf>
    <xf numFmtId="1" fontId="0" fillId="5" borderId="0"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xf>
    <xf numFmtId="164" fontId="0" fillId="5" borderId="0" xfId="0" applyNumberFormat="1" applyFont="1" applyFill="1" applyBorder="1" applyAlignment="1">
      <alignment horizontal="center" vertical="center" wrapText="1"/>
    </xf>
    <xf numFmtId="164" fontId="0" fillId="2" borderId="0" xfId="0" applyNumberFormat="1" applyFont="1" applyFill="1" applyBorder="1" applyAlignment="1">
      <alignment horizontal="left" vertical="center"/>
    </xf>
    <xf numFmtId="164" fontId="9" fillId="2" borderId="0" xfId="5" applyNumberFormat="1" applyFont="1" applyFill="1" applyBorder="1" applyAlignment="1">
      <alignment horizontal="center" vertical="center"/>
    </xf>
    <xf numFmtId="164" fontId="9" fillId="2" borderId="1" xfId="5" applyNumberFormat="1" applyFont="1" applyFill="1" applyBorder="1" applyAlignment="1">
      <alignment horizontal="center" vertical="center"/>
    </xf>
    <xf numFmtId="164" fontId="9" fillId="2" borderId="1" xfId="5" applyNumberFormat="1" applyFont="1" applyFill="1" applyBorder="1" applyAlignment="1">
      <alignment horizontal="center" vertical="center" wrapText="1"/>
    </xf>
    <xf numFmtId="164" fontId="9" fillId="6" borderId="0" xfId="5" applyNumberFormat="1" applyFont="1" applyFill="1" applyBorder="1" applyAlignment="1">
      <alignment horizontal="center" vertical="center"/>
    </xf>
    <xf numFmtId="1" fontId="9" fillId="5" borderId="0" xfId="5" applyNumberFormat="1" applyFont="1" applyFill="1" applyBorder="1" applyAlignment="1">
      <alignment horizontal="center" vertical="center" wrapText="1"/>
    </xf>
    <xf numFmtId="1" fontId="9" fillId="5" borderId="0" xfId="5" applyNumberFormat="1" applyFont="1" applyFill="1" applyBorder="1" applyAlignment="1">
      <alignment horizontal="center" vertical="center"/>
    </xf>
    <xf numFmtId="164" fontId="9" fillId="5" borderId="1" xfId="5" applyNumberFormat="1" applyFont="1" applyFill="1" applyBorder="1" applyAlignment="1">
      <alignment horizontal="center" vertical="center"/>
    </xf>
    <xf numFmtId="164" fontId="9" fillId="5" borderId="2" xfId="5" applyNumberFormat="1" applyFont="1" applyFill="1" applyBorder="1" applyAlignment="1">
      <alignment horizontal="center" vertical="center"/>
    </xf>
    <xf numFmtId="164" fontId="9" fillId="5" borderId="0" xfId="5" applyNumberFormat="1" applyFont="1" applyFill="1" applyBorder="1" applyAlignment="1">
      <alignment horizontal="center" vertical="center"/>
    </xf>
    <xf numFmtId="1" fontId="9" fillId="5" borderId="2" xfId="5" applyNumberFormat="1" applyFont="1" applyFill="1" applyBorder="1" applyAlignment="1">
      <alignment horizontal="center" vertical="center"/>
    </xf>
    <xf numFmtId="165" fontId="9" fillId="5" borderId="2" xfId="5" applyNumberFormat="1" applyFont="1" applyFill="1" applyBorder="1" applyAlignment="1">
      <alignment horizontal="center" vertical="center"/>
    </xf>
    <xf numFmtId="1" fontId="9" fillId="5" borderId="0"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1" fontId="9" fillId="5" borderId="2" xfId="5" applyNumberFormat="1" applyFont="1" applyFill="1" applyBorder="1" applyAlignment="1">
      <alignment horizontal="center" vertical="center" wrapText="1"/>
    </xf>
    <xf numFmtId="164" fontId="9" fillId="6" borderId="3" xfId="5" applyNumberFormat="1" applyFont="1" applyFill="1" applyBorder="1" applyAlignment="1">
      <alignment horizontal="center" vertical="center"/>
    </xf>
    <xf numFmtId="164" fontId="9" fillId="5" borderId="2" xfId="5" applyNumberFormat="1" applyFont="1" applyFill="1" applyBorder="1" applyAlignment="1">
      <alignment horizontal="center" vertical="center" wrapText="1"/>
    </xf>
    <xf numFmtId="164" fontId="9" fillId="5" borderId="0" xfId="5" applyNumberFormat="1" applyFont="1" applyFill="1" applyBorder="1" applyAlignment="1">
      <alignment horizontal="center" vertical="center" wrapText="1"/>
    </xf>
    <xf numFmtId="164" fontId="9" fillId="5" borderId="1" xfId="5" applyNumberFormat="1" applyFont="1" applyFill="1" applyBorder="1" applyAlignment="1">
      <alignment horizontal="center" vertical="center" wrapText="1"/>
    </xf>
    <xf numFmtId="164" fontId="9" fillId="5" borderId="0" xfId="0" applyNumberFormat="1" applyFont="1" applyFill="1" applyBorder="1" applyAlignment="1">
      <alignment horizontal="center" vertical="center"/>
    </xf>
    <xf numFmtId="164" fontId="9" fillId="6" borderId="1" xfId="5" applyNumberFormat="1" applyFont="1" applyFill="1" applyBorder="1" applyAlignment="1">
      <alignment horizontal="center" vertical="center"/>
    </xf>
    <xf numFmtId="165" fontId="9" fillId="5" borderId="2" xfId="5" applyNumberFormat="1" applyFont="1" applyFill="1" applyBorder="1" applyAlignment="1">
      <alignment horizontal="left" vertical="center" wrapText="1"/>
    </xf>
    <xf numFmtId="165" fontId="9" fillId="5" borderId="2" xfId="5" applyNumberFormat="1" applyFont="1" applyFill="1" applyBorder="1" applyAlignment="1">
      <alignment horizontal="center" vertical="center" wrapText="1"/>
    </xf>
    <xf numFmtId="164" fontId="9" fillId="2" borderId="0" xfId="5" applyNumberFormat="1" applyFont="1" applyFill="1" applyBorder="1" applyAlignment="1">
      <alignment horizontal="left" vertical="center"/>
    </xf>
    <xf numFmtId="164" fontId="0" fillId="6" borderId="0" xfId="0" applyNumberFormat="1" applyFont="1" applyFill="1" applyBorder="1" applyAlignment="1">
      <alignment horizontal="center" vertical="center"/>
    </xf>
    <xf numFmtId="1" fontId="0" fillId="5" borderId="0" xfId="5" applyNumberFormat="1" applyFont="1" applyFill="1" applyBorder="1" applyAlignment="1">
      <alignment horizontal="center" vertical="center"/>
    </xf>
    <xf numFmtId="164" fontId="0" fillId="5" borderId="2" xfId="0" applyNumberFormat="1" applyFont="1" applyFill="1" applyBorder="1" applyAlignment="1">
      <alignment horizontal="center" vertical="center"/>
    </xf>
    <xf numFmtId="164" fontId="0" fillId="6" borderId="3" xfId="0" applyNumberFormat="1" applyFont="1" applyFill="1" applyBorder="1" applyAlignment="1">
      <alignment horizontal="center" vertical="center"/>
    </xf>
    <xf numFmtId="164" fontId="0" fillId="6" borderId="1" xfId="0" applyNumberFormat="1" applyFont="1" applyFill="1" applyBorder="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0" xfId="0" applyFill="1" applyAlignment="1">
      <alignment horizontal="left" vertical="center" wrapText="1"/>
    </xf>
    <xf numFmtId="0" fontId="10" fillId="5" borderId="0"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xf>
    <xf numFmtId="0" fontId="0" fillId="5" borderId="1" xfId="0" applyFont="1" applyFill="1" applyBorder="1" applyAlignment="1">
      <alignment horizontal="left" vertical="center"/>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quotePrefix="1"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xf>
    <xf numFmtId="0" fontId="0" fillId="5" borderId="0" xfId="0" applyFill="1" applyBorder="1" applyAlignment="1">
      <alignment horizontal="center" vertical="center"/>
    </xf>
    <xf numFmtId="0" fontId="0" fillId="5" borderId="1" xfId="0" applyFill="1" applyBorder="1" applyAlignment="1">
      <alignment horizontal="center" vertical="center"/>
    </xf>
    <xf numFmtId="0" fontId="0" fillId="5" borderId="0" xfId="0" applyFont="1" applyFill="1" applyAlignment="1">
      <alignment horizontal="left" vertical="center" wrapText="1"/>
    </xf>
    <xf numFmtId="0" fontId="10" fillId="5" borderId="0" xfId="0" applyFont="1" applyFill="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vertical="center" wrapText="1"/>
    </xf>
    <xf numFmtId="0" fontId="0" fillId="5" borderId="0" xfId="0" applyFill="1" applyBorder="1" applyAlignment="1">
      <alignment vertical="center" wrapText="1"/>
    </xf>
    <xf numFmtId="0" fontId="0" fillId="5" borderId="1" xfId="0" applyFill="1" applyBorder="1" applyAlignment="1">
      <alignmen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0" fontId="0" fillId="5" borderId="2" xfId="0" applyFill="1" applyBorder="1" applyAlignment="1">
      <alignment horizontal="left" wrapText="1"/>
    </xf>
    <xf numFmtId="0" fontId="0" fillId="5" borderId="0" xfId="0" applyFill="1" applyBorder="1" applyAlignment="1">
      <alignment horizontal="left" wrapText="1"/>
    </xf>
    <xf numFmtId="0" fontId="0" fillId="5" borderId="1" xfId="0" applyFill="1" applyBorder="1" applyAlignment="1">
      <alignment horizontal="left" wrapText="1"/>
    </xf>
    <xf numFmtId="164" fontId="0" fillId="5" borderId="1" xfId="0" applyNumberFormat="1" applyFill="1" applyBorder="1" applyAlignment="1">
      <alignment horizontal="center" vertical="center" wrapText="1"/>
    </xf>
    <xf numFmtId="0" fontId="3" fillId="2" borderId="0" xfId="1" applyFill="1" applyBorder="1" applyAlignment="1">
      <alignment horizontal="left" vertical="center" wrapText="1"/>
    </xf>
    <xf numFmtId="0" fontId="13" fillId="5" borderId="0" xfId="0" applyFont="1" applyFill="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7" fillId="5" borderId="2"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1" fillId="2" borderId="0" xfId="0" applyFont="1" applyFill="1"/>
    <xf numFmtId="0" fontId="0" fillId="2" borderId="0" xfId="0" applyFill="1"/>
    <xf numFmtId="0" fontId="8" fillId="2" borderId="0" xfId="0" applyFont="1" applyFill="1"/>
    <xf numFmtId="0" fontId="0" fillId="2" borderId="0" xfId="0" applyFill="1" applyAlignment="1">
      <alignment wrapText="1"/>
    </xf>
    <xf numFmtId="1" fontId="0" fillId="2" borderId="0" xfId="0" applyNumberFormat="1" applyFill="1"/>
    <xf numFmtId="1" fontId="8" fillId="2" borderId="0" xfId="0" applyNumberFormat="1" applyFont="1" applyFill="1"/>
    <xf numFmtId="1" fontId="0" fillId="2" borderId="0" xfId="0" applyNumberFormat="1" applyFill="1" applyAlignment="1">
      <alignment wrapText="1"/>
    </xf>
    <xf numFmtId="1" fontId="21" fillId="2" borderId="0" xfId="0" applyNumberFormat="1" applyFont="1" applyFill="1"/>
    <xf numFmtId="0" fontId="22" fillId="2" borderId="0" xfId="0" applyFont="1" applyFill="1" applyAlignment="1">
      <alignment vertical="center"/>
    </xf>
    <xf numFmtId="0" fontId="23" fillId="2" borderId="0" xfId="0" applyFont="1" applyFill="1" applyAlignment="1">
      <alignment vertical="center"/>
    </xf>
    <xf numFmtId="0" fontId="24" fillId="0" borderId="0" xfId="0" applyFont="1" applyAlignment="1">
      <alignment vertical="center"/>
    </xf>
    <xf numFmtId="0" fontId="8" fillId="0" borderId="0" xfId="0" applyFont="1"/>
    <xf numFmtId="0" fontId="0" fillId="0" borderId="0" xfId="0" applyAlignment="1">
      <alignment wrapText="1"/>
    </xf>
    <xf numFmtId="0" fontId="1" fillId="0" borderId="0" xfId="0" applyFont="1"/>
    <xf numFmtId="0" fontId="17" fillId="2" borderId="0" xfId="0" applyFont="1" applyFill="1"/>
    <xf numFmtId="0" fontId="5" fillId="0" borderId="0" xfId="0" applyFont="1"/>
    <xf numFmtId="0" fontId="25" fillId="0" borderId="3" xfId="0" applyFont="1" applyBorder="1"/>
    <xf numFmtId="0" fontId="1" fillId="0" borderId="3" xfId="0" applyFont="1" applyBorder="1" applyAlignment="1">
      <alignment horizontal="left" vertical="top" wrapText="1"/>
    </xf>
    <xf numFmtId="0" fontId="25" fillId="8" borderId="3" xfId="0" applyFont="1" applyFill="1" applyBorder="1" applyAlignment="1">
      <alignment horizontal="left" wrapText="1"/>
    </xf>
    <xf numFmtId="0" fontId="1" fillId="8" borderId="3" xfId="0" applyFont="1" applyFill="1" applyBorder="1" applyAlignment="1">
      <alignment horizontal="left" vertical="top" wrapText="1"/>
    </xf>
    <xf numFmtId="0" fontId="25" fillId="4" borderId="3" xfId="0" applyFont="1" applyFill="1" applyBorder="1" applyAlignment="1">
      <alignment horizontal="left" wrapText="1"/>
    </xf>
    <xf numFmtId="0" fontId="1" fillId="4" borderId="3" xfId="0" applyFont="1" applyFill="1" applyBorder="1" applyAlignment="1">
      <alignment horizontal="left" vertical="top" wrapText="1"/>
    </xf>
    <xf numFmtId="0" fontId="25" fillId="0" borderId="3" xfId="0" applyFont="1" applyBorder="1" applyAlignment="1">
      <alignment horizontal="left" wrapText="1"/>
    </xf>
    <xf numFmtId="0" fontId="5" fillId="7" borderId="0" xfId="0" applyFont="1" applyFill="1"/>
    <xf numFmtId="164" fontId="0" fillId="7" borderId="0" xfId="0" applyNumberFormat="1" applyFill="1"/>
    <xf numFmtId="164" fontId="0" fillId="0" borderId="0" xfId="0" applyNumberFormat="1"/>
    <xf numFmtId="164" fontId="0" fillId="9" borderId="0" xfId="0" applyNumberFormat="1" applyFill="1"/>
    <xf numFmtId="0" fontId="0" fillId="9" borderId="0" xfId="0" applyFill="1"/>
    <xf numFmtId="0" fontId="0" fillId="10" borderId="0" xfId="0" applyFill="1"/>
    <xf numFmtId="164" fontId="0" fillId="10" borderId="0" xfId="0" applyNumberFormat="1" applyFill="1"/>
    <xf numFmtId="0" fontId="0" fillId="7" borderId="1" xfId="0" applyFill="1" applyBorder="1"/>
    <xf numFmtId="164" fontId="0" fillId="7" borderId="1" xfId="0" applyNumberFormat="1" applyFill="1" applyBorder="1"/>
    <xf numFmtId="0" fontId="0" fillId="0" borderId="1" xfId="0" applyBorder="1"/>
    <xf numFmtId="164" fontId="0" fillId="0" borderId="1" xfId="0" applyNumberFormat="1" applyBorder="1"/>
    <xf numFmtId="0" fontId="26" fillId="2" borderId="4" xfId="0" applyFont="1" applyFill="1" applyBorder="1"/>
    <xf numFmtId="0" fontId="27" fillId="0" borderId="0" xfId="0" applyFont="1"/>
    <xf numFmtId="0" fontId="25" fillId="11" borderId="3" xfId="0" applyFont="1" applyFill="1" applyBorder="1"/>
    <xf numFmtId="0" fontId="1" fillId="11" borderId="3" xfId="0" applyFont="1" applyFill="1" applyBorder="1" applyAlignment="1">
      <alignment horizontal="left" vertical="top" wrapText="1"/>
    </xf>
    <xf numFmtId="0" fontId="0" fillId="0" borderId="0" xfId="0" applyFill="1"/>
    <xf numFmtId="0" fontId="25" fillId="0" borderId="3" xfId="0" applyFont="1" applyFill="1" applyBorder="1"/>
    <xf numFmtId="0" fontId="5" fillId="0" borderId="0" xfId="0" applyFont="1" applyFill="1"/>
    <xf numFmtId="0" fontId="0" fillId="0" borderId="1" xfId="0" applyFill="1" applyBorder="1"/>
    <xf numFmtId="1" fontId="0" fillId="0" borderId="0" xfId="0" applyNumberFormat="1" applyFill="1"/>
    <xf numFmtId="0" fontId="28" fillId="9" borderId="0" xfId="0" applyFont="1" applyFill="1"/>
    <xf numFmtId="164" fontId="0" fillId="0" borderId="0" xfId="0" applyNumberFormat="1" applyFill="1"/>
    <xf numFmtId="0" fontId="28" fillId="12" borderId="0" xfId="0" applyFont="1" applyFill="1"/>
    <xf numFmtId="1" fontId="5" fillId="0" borderId="0" xfId="0" applyNumberFormat="1" applyFont="1" applyFill="1"/>
    <xf numFmtId="164" fontId="5" fillId="0" borderId="0" xfId="0" applyNumberFormat="1" applyFont="1" applyFill="1"/>
    <xf numFmtId="164" fontId="25" fillId="0" borderId="3" xfId="0" applyNumberFormat="1" applyFont="1" applyFill="1" applyBorder="1"/>
    <xf numFmtId="0" fontId="7" fillId="5" borderId="2" xfId="0"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indent="1"/>
    </xf>
    <xf numFmtId="0" fontId="0" fillId="0" borderId="0" xfId="0" applyFont="1" applyAlignment="1">
      <alignment vertical="center"/>
    </xf>
    <xf numFmtId="165" fontId="7" fillId="5" borderId="2" xfId="0" applyNumberFormat="1" applyFont="1" applyFill="1" applyBorder="1" applyAlignment="1">
      <alignment horizontal="center" vertical="center" wrapText="1"/>
    </xf>
    <xf numFmtId="1" fontId="0" fillId="5" borderId="2" xfId="0" applyNumberFormat="1" applyFill="1" applyBorder="1" applyAlignment="1">
      <alignment horizontal="left" vertical="center" wrapText="1"/>
    </xf>
    <xf numFmtId="1" fontId="0" fillId="5" borderId="0" xfId="0" applyNumberFormat="1" applyFill="1" applyBorder="1" applyAlignment="1">
      <alignment horizontal="left" vertical="center" wrapText="1"/>
    </xf>
    <xf numFmtId="166" fontId="0" fillId="5" borderId="2" xfId="0" applyNumberFormat="1" applyFill="1" applyBorder="1" applyAlignment="1">
      <alignment horizontal="center" vertical="center"/>
    </xf>
    <xf numFmtId="165" fontId="0" fillId="5" borderId="2" xfId="0" applyNumberFormat="1" applyFill="1" applyBorder="1" applyAlignment="1">
      <alignment horizontal="center" vertical="center"/>
    </xf>
    <xf numFmtId="164" fontId="0" fillId="5" borderId="1" xfId="0" applyNumberFormat="1" applyFont="1" applyFill="1" applyBorder="1" applyAlignment="1">
      <alignment horizontal="left" vertical="center" wrapText="1"/>
    </xf>
    <xf numFmtId="164" fontId="0" fillId="5" borderId="0" xfId="0" applyNumberFormat="1" applyFill="1" applyBorder="1" applyAlignment="1">
      <alignment horizontal="left" vertical="center" wrapText="1"/>
    </xf>
    <xf numFmtId="164" fontId="0" fillId="5" borderId="1" xfId="0" applyNumberFormat="1" applyFill="1" applyBorder="1" applyAlignment="1">
      <alignment horizontal="left" vertical="center" wrapText="1"/>
    </xf>
    <xf numFmtId="164" fontId="0" fillId="5" borderId="0" xfId="0" applyNumberFormat="1" applyFill="1" applyBorder="1" applyAlignment="1">
      <alignment vertical="center" wrapText="1"/>
    </xf>
    <xf numFmtId="164" fontId="0" fillId="5" borderId="1" xfId="0" applyNumberFormat="1" applyFont="1" applyFill="1" applyBorder="1" applyAlignment="1">
      <alignment horizontal="right" vertical="center" wrapText="1"/>
    </xf>
    <xf numFmtId="164" fontId="7" fillId="5" borderId="0" xfId="0" applyNumberFormat="1" applyFont="1" applyFill="1" applyBorder="1" applyAlignment="1">
      <alignment horizontal="center" vertical="center" wrapText="1"/>
    </xf>
    <xf numFmtId="0" fontId="0" fillId="0" borderId="0" xfId="0" applyAlignment="1">
      <alignment horizontal="left" vertical="center" indent="4"/>
    </xf>
    <xf numFmtId="165" fontId="13" fillId="5" borderId="2" xfId="5" applyNumberFormat="1" applyFont="1" applyFill="1" applyBorder="1" applyAlignment="1">
      <alignment horizontal="center" vertical="center"/>
    </xf>
    <xf numFmtId="3" fontId="13" fillId="5" borderId="2" xfId="0" applyNumberFormat="1" applyFont="1" applyFill="1" applyBorder="1" applyAlignment="1">
      <alignment horizontal="center" vertical="center"/>
    </xf>
    <xf numFmtId="1" fontId="13" fillId="5" borderId="0" xfId="0" applyNumberFormat="1" applyFont="1" applyFill="1" applyBorder="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xf>
    <xf numFmtId="0" fontId="0" fillId="5" borderId="1" xfId="0" applyFont="1" applyFill="1" applyBorder="1" applyAlignment="1">
      <alignment horizontal="left" vertical="center"/>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quotePrefix="1"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xf>
    <xf numFmtId="0" fontId="0" fillId="5" borderId="0" xfId="0" applyFill="1" applyBorder="1" applyAlignment="1">
      <alignment horizontal="center" vertical="center"/>
    </xf>
    <xf numFmtId="0" fontId="0" fillId="5" borderId="1" xfId="0" applyFill="1" applyBorder="1" applyAlignment="1">
      <alignment horizontal="center" vertical="center"/>
    </xf>
    <xf numFmtId="0" fontId="0" fillId="5" borderId="0" xfId="0" applyFont="1" applyFill="1" applyAlignment="1">
      <alignment horizontal="left" vertical="center" wrapText="1"/>
    </xf>
    <xf numFmtId="0" fontId="10" fillId="5" borderId="0" xfId="0" applyFont="1" applyFill="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vertical="center" wrapText="1"/>
    </xf>
    <xf numFmtId="0" fontId="0" fillId="5" borderId="0" xfId="0" applyFill="1" applyBorder="1" applyAlignment="1">
      <alignment vertical="center" wrapText="1"/>
    </xf>
    <xf numFmtId="0" fontId="0" fillId="5" borderId="1" xfId="0" applyFill="1" applyBorder="1" applyAlignment="1">
      <alignmen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0" fontId="0" fillId="5" borderId="2" xfId="0" applyFill="1" applyBorder="1" applyAlignment="1">
      <alignment horizontal="left" wrapText="1"/>
    </xf>
    <xf numFmtId="0" fontId="0" fillId="5" borderId="0" xfId="0" applyFill="1" applyBorder="1" applyAlignment="1">
      <alignment horizontal="left" wrapText="1"/>
    </xf>
    <xf numFmtId="0" fontId="0" fillId="5" borderId="1" xfId="0" applyFill="1" applyBorder="1" applyAlignment="1">
      <alignment horizontal="left" wrapText="1"/>
    </xf>
    <xf numFmtId="164" fontId="0" fillId="5" borderId="1" xfId="0" applyNumberFormat="1" applyFill="1" applyBorder="1" applyAlignment="1">
      <alignment horizontal="center" vertical="center" wrapText="1"/>
    </xf>
    <xf numFmtId="0" fontId="3" fillId="2" borderId="0" xfId="1" applyFill="1" applyBorder="1" applyAlignment="1">
      <alignment horizontal="left" vertical="center" wrapText="1"/>
    </xf>
    <xf numFmtId="0" fontId="13" fillId="5" borderId="0" xfId="0" applyFont="1" applyFill="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7" fillId="5"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0" fillId="2" borderId="0" xfId="0" applyFill="1" applyBorder="1" applyAlignment="1">
      <alignment horizontal="left" vertical="center" wrapText="1"/>
    </xf>
    <xf numFmtId="0" fontId="13" fillId="0" borderId="0" xfId="0" applyFont="1"/>
    <xf numFmtId="0" fontId="13" fillId="5" borderId="2" xfId="0" applyFont="1" applyFill="1" applyBorder="1" applyAlignment="1">
      <alignment horizontal="left" vertical="center" wrapText="1"/>
    </xf>
    <xf numFmtId="164" fontId="0" fillId="5" borderId="0" xfId="0" applyNumberFormat="1" applyFill="1" applyAlignment="1">
      <alignment horizontal="center" vertical="center"/>
    </xf>
    <xf numFmtId="1" fontId="13" fillId="5" borderId="2" xfId="5" applyNumberFormat="1" applyFont="1" applyFill="1" applyBorder="1" applyAlignment="1">
      <alignment horizontal="center" vertical="center"/>
    </xf>
    <xf numFmtId="165" fontId="0" fillId="5" borderId="0" xfId="0" applyNumberFormat="1" applyFill="1" applyBorder="1" applyAlignment="1">
      <alignment horizontal="left" vertical="center"/>
    </xf>
    <xf numFmtId="167" fontId="0" fillId="5" borderId="0" xfId="0" applyNumberFormat="1" applyFill="1" applyBorder="1" applyAlignment="1">
      <alignment horizontal="left" vertical="center"/>
    </xf>
    <xf numFmtId="3" fontId="0" fillId="5" borderId="2" xfId="0" applyNumberFormat="1" applyFill="1" applyBorder="1" applyAlignment="1">
      <alignment horizontal="center" vertical="center" wrapText="1"/>
    </xf>
    <xf numFmtId="165" fontId="13" fillId="5" borderId="2" xfId="0" applyNumberFormat="1" applyFon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0" fontId="0" fillId="0" borderId="0" xfId="0"/>
    <xf numFmtId="0" fontId="1" fillId="0" borderId="0" xfId="0" applyFont="1"/>
    <xf numFmtId="0" fontId="0" fillId="7" borderId="0" xfId="0" applyFill="1"/>
    <xf numFmtId="0" fontId="0" fillId="5" borderId="0" xfId="0" applyFill="1" applyBorder="1" applyAlignment="1">
      <alignment horizontal="left" vertical="center" wrapText="1"/>
    </xf>
    <xf numFmtId="0" fontId="3" fillId="5" borderId="0" xfId="1" applyFill="1" applyBorder="1" applyAlignment="1">
      <alignment horizontal="left" vertical="center" wrapText="1"/>
    </xf>
    <xf numFmtId="0" fontId="0" fillId="2" borderId="0" xfId="0" applyFill="1" applyBorder="1" applyAlignment="1">
      <alignment horizontal="left" vertical="center" wrapText="1"/>
    </xf>
    <xf numFmtId="165" fontId="0" fillId="5" borderId="2" xfId="0" applyNumberFormat="1" applyFill="1" applyBorder="1" applyAlignment="1">
      <alignment horizontal="center"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3" fillId="5" borderId="0" xfId="1" applyFill="1" applyBorder="1" applyAlignment="1">
      <alignment horizontal="left" vertical="center" wrapText="1"/>
    </xf>
    <xf numFmtId="164" fontId="7" fillId="5" borderId="0" xfId="0" applyNumberFormat="1" applyFont="1" applyFill="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164" fontId="13" fillId="5" borderId="0" xfId="0" applyNumberFormat="1" applyFont="1" applyFill="1" applyBorder="1" applyAlignment="1">
      <alignment horizontal="center" vertical="center" wrapText="1"/>
    </xf>
    <xf numFmtId="1" fontId="0" fillId="5" borderId="2" xfId="0" applyNumberFormat="1" applyFill="1" applyBorder="1" applyAlignment="1">
      <alignment vertical="center" wrapText="1"/>
    </xf>
    <xf numFmtId="1" fontId="0" fillId="5" borderId="0" xfId="0" applyNumberFormat="1" applyFill="1" applyBorder="1" applyAlignment="1">
      <alignment vertical="center" wrapText="1"/>
    </xf>
    <xf numFmtId="164" fontId="0" fillId="5" borderId="2" xfId="0" applyNumberFormat="1" applyFill="1" applyBorder="1" applyAlignment="1">
      <alignment vertical="center" wrapText="1"/>
    </xf>
    <xf numFmtId="164" fontId="0" fillId="5" borderId="1" xfId="0" applyNumberFormat="1" applyFill="1" applyBorder="1" applyAlignment="1">
      <alignment horizontal="right" vertical="center"/>
    </xf>
    <xf numFmtId="164" fontId="0" fillId="5" borderId="2" xfId="0" applyNumberFormat="1" applyFont="1" applyFill="1" applyBorder="1" applyAlignment="1">
      <alignment horizontal="center" vertical="center" wrapText="1"/>
    </xf>
    <xf numFmtId="1" fontId="0" fillId="5" borderId="2" xfId="0" applyNumberFormat="1" applyFill="1" applyBorder="1" applyAlignment="1">
      <alignment horizontal="left" vertical="center"/>
    </xf>
    <xf numFmtId="164" fontId="0" fillId="5" borderId="0" xfId="0" applyNumberFormat="1" applyFont="1" applyFill="1" applyAlignment="1">
      <alignment horizontal="center" vertical="center"/>
    </xf>
    <xf numFmtId="164" fontId="0" fillId="5" borderId="0" xfId="0" applyNumberFormat="1" applyFont="1" applyFill="1" applyAlignment="1">
      <alignment horizontal="center" vertical="center" wrapText="1"/>
    </xf>
    <xf numFmtId="0" fontId="0" fillId="2" borderId="2" xfId="0" applyFont="1" applyFill="1" applyBorder="1" applyAlignment="1">
      <alignment horizontal="left" vertical="center" wrapText="1"/>
    </xf>
    <xf numFmtId="0" fontId="0" fillId="5" borderId="2" xfId="0" applyFont="1" applyFill="1" applyBorder="1" applyAlignment="1">
      <alignment horizontal="left" vertical="center" textRotation="90"/>
    </xf>
    <xf numFmtId="0" fontId="0" fillId="5" borderId="0" xfId="0" applyFont="1" applyFill="1" applyBorder="1" applyAlignment="1">
      <alignment horizontal="left" vertical="center" textRotation="90"/>
    </xf>
    <xf numFmtId="0" fontId="0" fillId="2" borderId="1" xfId="0" applyFont="1" applyFill="1" applyBorder="1" applyAlignment="1">
      <alignment horizontal="left" vertical="center"/>
    </xf>
    <xf numFmtId="0" fontId="0" fillId="5" borderId="1" xfId="0" applyFont="1" applyFill="1" applyBorder="1" applyAlignment="1">
      <alignment horizontal="left" vertical="center" textRotation="90"/>
    </xf>
    <xf numFmtId="0" fontId="0" fillId="2" borderId="0" xfId="0" applyFont="1" applyFill="1" applyBorder="1" applyAlignment="1">
      <alignment horizontal="left" vertical="center"/>
    </xf>
    <xf numFmtId="1" fontId="0" fillId="5" borderId="0" xfId="0" applyNumberFormat="1" applyFont="1" applyFill="1" applyAlignment="1">
      <alignment horizontal="center" vertical="center"/>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164" fontId="13" fillId="5" borderId="0" xfId="0" applyNumberFormat="1" applyFont="1" applyFill="1" applyAlignment="1">
      <alignment horizontal="left" vertical="center" wrapText="1"/>
    </xf>
    <xf numFmtId="0" fontId="7" fillId="0" borderId="0" xfId="0" applyFont="1"/>
    <xf numFmtId="164" fontId="13" fillId="5" borderId="0" xfId="5" applyNumberFormat="1" applyFont="1" applyFill="1" applyBorder="1" applyAlignment="1">
      <alignment horizontal="center" vertical="center"/>
    </xf>
    <xf numFmtId="164" fontId="13" fillId="5" borderId="2" xfId="0" applyNumberFormat="1" applyFont="1" applyFill="1" applyBorder="1" applyAlignment="1">
      <alignment horizontal="center" vertical="center"/>
    </xf>
    <xf numFmtId="0" fontId="38" fillId="0" borderId="0" xfId="1" applyFont="1"/>
    <xf numFmtId="164" fontId="13" fillId="5" borderId="0" xfId="5" applyNumberFormat="1" applyFont="1" applyFill="1" applyAlignment="1">
      <alignment horizontal="center" vertical="center"/>
    </xf>
    <xf numFmtId="0" fontId="0" fillId="5" borderId="2" xfId="0" applyFill="1" applyBorder="1" applyAlignment="1">
      <alignment horizontal="center" vertical="center" wrapText="1"/>
    </xf>
    <xf numFmtId="0" fontId="0" fillId="5" borderId="0" xfId="0" applyFill="1" applyAlignment="1">
      <alignment horizontal="left" vertical="center" textRotation="90"/>
    </xf>
    <xf numFmtId="165" fontId="9" fillId="5" borderId="2" xfId="5" applyNumberFormat="1" applyFill="1" applyBorder="1" applyAlignment="1">
      <alignment horizontal="center" vertical="center"/>
    </xf>
    <xf numFmtId="1" fontId="0" fillId="5" borderId="0" xfId="0" applyNumberFormat="1" applyFill="1" applyAlignment="1">
      <alignment horizontal="center" vertical="center"/>
    </xf>
    <xf numFmtId="1" fontId="9" fillId="5" borderId="0" xfId="5" applyNumberFormat="1" applyFill="1" applyAlignment="1">
      <alignment horizontal="center" vertical="center"/>
    </xf>
    <xf numFmtId="164" fontId="9" fillId="5" borderId="1" xfId="5" applyNumberFormat="1" applyFill="1" applyBorder="1" applyAlignment="1">
      <alignment horizontal="center" vertical="center"/>
    </xf>
    <xf numFmtId="0" fontId="13" fillId="5" borderId="0"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ont="1" applyFill="1" applyBorder="1" applyAlignment="1">
      <alignment horizontal="center"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0" fillId="2" borderId="2" xfId="0" applyFont="1" applyFill="1" applyBorder="1" applyAlignment="1">
      <alignment horizontal="left" vertical="center"/>
    </xf>
    <xf numFmtId="0" fontId="7" fillId="5" borderId="0" xfId="0" applyFont="1" applyFill="1" applyBorder="1" applyAlignment="1">
      <alignment horizontal="left" vertical="center" wrapText="1"/>
    </xf>
    <xf numFmtId="3" fontId="7" fillId="5" borderId="2" xfId="0" applyNumberFormat="1" applyFont="1" applyFill="1" applyBorder="1" applyAlignment="1">
      <alignment horizontal="left" vertical="center" wrapText="1"/>
    </xf>
    <xf numFmtId="164" fontId="7" fillId="5" borderId="0" xfId="0" applyNumberFormat="1" applyFont="1" applyFill="1" applyBorder="1" applyAlignment="1">
      <alignment horizontal="left" vertical="center" wrapText="1"/>
    </xf>
    <xf numFmtId="164" fontId="7" fillId="5" borderId="1" xfId="0" applyNumberFormat="1" applyFont="1" applyFill="1" applyBorder="1" applyAlignment="1">
      <alignment horizontal="left" vertical="center" wrapText="1"/>
    </xf>
    <xf numFmtId="164" fontId="0" fillId="5" borderId="2" xfId="0" applyNumberFormat="1" applyFill="1" applyBorder="1" applyAlignment="1">
      <alignment horizontal="center" vertical="center" wrapText="1"/>
    </xf>
    <xf numFmtId="164" fontId="0" fillId="5" borderId="2" xfId="0" applyNumberFormat="1" applyFont="1" applyFill="1" applyBorder="1" applyAlignment="1">
      <alignment horizontal="center" vertical="center" wrapText="1"/>
    </xf>
    <xf numFmtId="0" fontId="14" fillId="0" borderId="0" xfId="0" applyFont="1"/>
    <xf numFmtId="0" fontId="0" fillId="13" borderId="11" xfId="0" applyFill="1" applyBorder="1" applyAlignment="1">
      <alignment horizontal="center" wrapText="1"/>
    </xf>
    <xf numFmtId="0" fontId="39" fillId="0" borderId="0" xfId="0" applyFont="1"/>
    <xf numFmtId="0" fontId="0" fillId="0" borderId="0" xfId="0" applyAlignment="1">
      <alignment horizontal="center" vertical="center"/>
    </xf>
    <xf numFmtId="0" fontId="39" fillId="0" borderId="0" xfId="0" applyFont="1" applyAlignment="1">
      <alignment wrapText="1"/>
    </xf>
    <xf numFmtId="0" fontId="0" fillId="0" borderId="0" xfId="0"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vertical="center"/>
    </xf>
    <xf numFmtId="1" fontId="0" fillId="0" borderId="0" xfId="0" applyNumberFormat="1" applyAlignment="1">
      <alignment horizontal="center" vertical="center"/>
    </xf>
    <xf numFmtId="37" fontId="13" fillId="5" borderId="2" xfId="0" applyNumberFormat="1" applyFont="1" applyFill="1" applyBorder="1" applyAlignment="1">
      <alignment horizontal="center" vertical="center"/>
    </xf>
    <xf numFmtId="164" fontId="0" fillId="5" borderId="2" xfId="0" applyNumberFormat="1" applyFill="1" applyBorder="1" applyAlignment="1">
      <alignment horizontal="left" vertical="center" wrapText="1"/>
    </xf>
    <xf numFmtId="167" fontId="0" fillId="5" borderId="1" xfId="0" applyNumberFormat="1" applyFill="1" applyBorder="1" applyAlignment="1">
      <alignment horizontal="left" vertical="center"/>
    </xf>
    <xf numFmtId="0" fontId="0" fillId="0" borderId="0" xfId="0" applyFill="1" applyBorder="1" applyAlignment="1">
      <alignment horizontal="center" vertical="center"/>
    </xf>
    <xf numFmtId="0" fontId="0" fillId="5" borderId="12" xfId="0" applyFill="1" applyBorder="1" applyAlignment="1">
      <alignment horizontal="left" vertical="center" textRotation="90"/>
    </xf>
    <xf numFmtId="0" fontId="0" fillId="2" borderId="1" xfId="0" applyFont="1" applyFill="1" applyBorder="1" applyAlignment="1">
      <alignment horizontal="center" vertical="center" wrapText="1"/>
    </xf>
    <xf numFmtId="0" fontId="0" fillId="0" borderId="0" xfId="0" applyFill="1" applyAlignment="1">
      <alignment horizontal="left" indent="1"/>
    </xf>
    <xf numFmtId="0" fontId="41" fillId="0" borderId="0" xfId="3" applyFont="1"/>
    <xf numFmtId="0" fontId="0" fillId="0" borderId="0" xfId="0" applyAlignment="1"/>
    <xf numFmtId="0" fontId="42" fillId="0" borderId="0" xfId="0" applyFont="1"/>
    <xf numFmtId="0" fontId="42" fillId="0" borderId="1" xfId="0" applyFont="1" applyBorder="1"/>
    <xf numFmtId="0" fontId="43" fillId="0" borderId="0" xfId="0" applyFont="1"/>
    <xf numFmtId="0" fontId="42" fillId="0" borderId="0" xfId="0" applyFont="1" applyAlignment="1">
      <alignment horizontal="left" indent="1"/>
    </xf>
    <xf numFmtId="0" fontId="0" fillId="0" borderId="0" xfId="0" applyAlignment="1">
      <alignment horizontal="left" indent="1"/>
    </xf>
    <xf numFmtId="164" fontId="42" fillId="0" borderId="0" xfId="0" applyNumberFormat="1" applyFont="1"/>
    <xf numFmtId="0" fontId="43" fillId="0" borderId="0" xfId="0" applyFont="1" applyAlignment="1">
      <alignment horizontal="left"/>
    </xf>
    <xf numFmtId="0" fontId="42" fillId="0" borderId="0" xfId="0" applyFont="1" applyAlignment="1">
      <alignment horizontal="left"/>
    </xf>
    <xf numFmtId="167" fontId="42" fillId="0" borderId="0" xfId="5" applyNumberFormat="1" applyFont="1"/>
    <xf numFmtId="165" fontId="42" fillId="0" borderId="0" xfId="5" applyNumberFormat="1" applyFont="1"/>
    <xf numFmtId="0" fontId="44" fillId="0" borderId="0" xfId="3" applyFont="1"/>
    <xf numFmtId="0" fontId="47" fillId="0" borderId="2" xfId="0" applyFont="1" applyBorder="1"/>
    <xf numFmtId="0" fontId="47" fillId="0" borderId="0" xfId="0" applyFont="1" applyBorder="1" applyAlignment="1">
      <alignment horizontal="center"/>
    </xf>
    <xf numFmtId="0" fontId="48" fillId="0" borderId="0" xfId="0" applyFont="1" applyBorder="1"/>
    <xf numFmtId="0" fontId="48" fillId="0" borderId="0" xfId="0" applyFont="1"/>
    <xf numFmtId="0" fontId="48" fillId="0" borderId="1" xfId="0" applyFont="1" applyBorder="1"/>
    <xf numFmtId="0" fontId="48" fillId="0" borderId="0" xfId="0" applyFont="1" applyBorder="1" applyAlignment="1">
      <alignment wrapText="1"/>
    </xf>
    <xf numFmtId="0" fontId="47" fillId="0" borderId="1" xfId="0" applyFont="1" applyBorder="1"/>
    <xf numFmtId="164" fontId="47"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0" borderId="1" xfId="0" applyFont="1" applyBorder="1" applyAlignment="1">
      <alignment horizontal="left" vertical="center"/>
    </xf>
    <xf numFmtId="0" fontId="47" fillId="2" borderId="1" xfId="0" applyFont="1" applyFill="1" applyBorder="1" applyAlignment="1">
      <alignment vertical="center" wrapText="1"/>
    </xf>
    <xf numFmtId="0" fontId="47" fillId="2" borderId="1" xfId="0" applyFont="1" applyFill="1" applyBorder="1" applyAlignment="1">
      <alignment horizontal="left" vertical="center" wrapText="1"/>
    </xf>
    <xf numFmtId="0" fontId="47" fillId="0" borderId="0" xfId="0" applyFont="1" applyAlignment="1">
      <alignment horizontal="left" vertical="center"/>
    </xf>
    <xf numFmtId="0" fontId="47" fillId="0" borderId="3" xfId="0" applyFont="1" applyBorder="1" applyAlignment="1">
      <alignment horizontal="left" vertical="center"/>
    </xf>
    <xf numFmtId="164" fontId="0" fillId="5" borderId="1" xfId="0" applyNumberForma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5" fontId="43" fillId="0" borderId="0" xfId="5" applyNumberFormat="1" applyFont="1"/>
    <xf numFmtId="164" fontId="43" fillId="0" borderId="0" xfId="0" applyNumberFormat="1" applyFont="1"/>
    <xf numFmtId="167" fontId="43" fillId="0" borderId="0" xfId="5" applyNumberFormat="1" applyFont="1"/>
    <xf numFmtId="164" fontId="0" fillId="5" borderId="1" xfId="0" applyNumberFormat="1" applyFont="1" applyFill="1" applyBorder="1" applyAlignment="1">
      <alignment horizontal="center" vertical="center" wrapText="1"/>
    </xf>
    <xf numFmtId="0" fontId="0" fillId="2" borderId="1" xfId="0" applyFill="1" applyBorder="1" applyAlignment="1">
      <alignment horizontal="left" vertical="center" textRotation="90" wrapText="1"/>
    </xf>
    <xf numFmtId="0" fontId="0" fillId="2" borderId="0" xfId="0" applyFill="1" applyBorder="1" applyAlignment="1">
      <alignment wrapText="1"/>
    </xf>
    <xf numFmtId="0" fontId="0" fillId="2" borderId="1" xfId="0" applyFill="1" applyBorder="1" applyAlignment="1">
      <alignment horizontal="center" vertical="center" wrapText="1"/>
    </xf>
    <xf numFmtId="0" fontId="0" fillId="0" borderId="1" xfId="0" applyFill="1" applyBorder="1" applyAlignment="1">
      <alignment horizontal="center" vertical="center" textRotation="90" wrapText="1"/>
    </xf>
    <xf numFmtId="164" fontId="1" fillId="2" borderId="1" xfId="5"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Fill="1" applyBorder="1" applyAlignment="1">
      <alignment vertical="center" textRotation="90" wrapText="1"/>
    </xf>
    <xf numFmtId="0" fontId="0" fillId="2" borderId="2" xfId="0" applyFill="1" applyBorder="1" applyAlignment="1">
      <alignment vertical="center" textRotation="90" wrapText="1"/>
    </xf>
    <xf numFmtId="0" fontId="0" fillId="2" borderId="1" xfId="0" applyFill="1" applyBorder="1" applyAlignment="1">
      <alignment vertical="center" textRotation="90" wrapText="1"/>
    </xf>
    <xf numFmtId="164" fontId="1" fillId="2" borderId="2" xfId="0" applyNumberFormat="1" applyFont="1" applyFill="1" applyBorder="1" applyAlignment="1">
      <alignment vertical="center" wrapText="1"/>
    </xf>
    <xf numFmtId="164" fontId="1" fillId="2" borderId="2" xfId="5" applyNumberFormat="1" applyFont="1" applyFill="1" applyBorder="1" applyAlignment="1">
      <alignment vertical="center" wrapText="1"/>
    </xf>
    <xf numFmtId="164" fontId="0" fillId="2" borderId="0" xfId="0" applyNumberFormat="1" applyFill="1"/>
    <xf numFmtId="0" fontId="0" fillId="2" borderId="0" xfId="0" applyFill="1" applyBorder="1" applyAlignment="1">
      <alignment horizontal="left" vertical="center" wrapText="1"/>
    </xf>
    <xf numFmtId="0" fontId="0" fillId="2" borderId="0" xfId="0" applyFill="1" applyBorder="1" applyAlignment="1">
      <alignment horizontal="center" vertical="center"/>
    </xf>
    <xf numFmtId="0" fontId="16" fillId="2" borderId="1" xfId="0" applyFont="1" applyFill="1" applyBorder="1" applyAlignment="1">
      <alignment horizontal="left" vertical="center"/>
    </xf>
    <xf numFmtId="0" fontId="2"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2" borderId="0" xfId="0"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ill="1" applyBorder="1" applyAlignment="1">
      <alignment vertical="center" wrapText="1"/>
    </xf>
    <xf numFmtId="0" fontId="0" fillId="5" borderId="0" xfId="0" applyFill="1" applyBorder="1" applyAlignment="1">
      <alignment vertical="center" wrapText="1"/>
    </xf>
    <xf numFmtId="0" fontId="0" fillId="5" borderId="0" xfId="0" applyFill="1" applyBorder="1" applyAlignment="1">
      <alignment horizontal="center" vertical="center"/>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13" fillId="5" borderId="0" xfId="0" applyFont="1" applyFill="1" applyAlignment="1">
      <alignment horizontal="left"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0" xfId="0" applyFill="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5" borderId="0" xfId="0" applyFill="1" applyBorder="1" applyAlignment="1">
      <alignment horizontal="left" wrapText="1"/>
    </xf>
    <xf numFmtId="0" fontId="0" fillId="5" borderId="2" xfId="0" applyFont="1" applyFill="1" applyBorder="1" applyAlignment="1">
      <alignment horizontal="center" vertical="center"/>
    </xf>
    <xf numFmtId="0" fontId="0" fillId="5" borderId="2"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0" fillId="5" borderId="0" xfId="0" applyFill="1" applyBorder="1" applyAlignment="1">
      <alignment horizontal="center" vertical="center" textRotation="90"/>
    </xf>
    <xf numFmtId="0" fontId="0" fillId="5" borderId="1" xfId="0" applyFill="1" applyBorder="1" applyAlignment="1">
      <alignment horizontal="center" vertical="center" textRotation="90"/>
    </xf>
    <xf numFmtId="0" fontId="0" fillId="5" borderId="1" xfId="0" applyFill="1" applyBorder="1" applyAlignment="1">
      <alignment horizontal="left" vertical="center"/>
    </xf>
    <xf numFmtId="0" fontId="0" fillId="2" borderId="0" xfId="0" applyFill="1" applyBorder="1" applyAlignment="1">
      <alignment horizontal="center" vertical="center"/>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5" fillId="0" borderId="0" xfId="6"/>
    <xf numFmtId="0" fontId="0" fillId="14" borderId="0" xfId="0" applyFill="1"/>
    <xf numFmtId="0" fontId="0" fillId="15" borderId="0" xfId="0" applyFill="1"/>
    <xf numFmtId="16" fontId="0" fillId="0" borderId="0" xfId="0" applyNumberFormat="1"/>
    <xf numFmtId="0" fontId="0" fillId="16" borderId="0" xfId="0" applyFill="1"/>
    <xf numFmtId="0" fontId="0" fillId="12" borderId="0" xfId="0" applyFill="1"/>
    <xf numFmtId="0" fontId="52" fillId="0" borderId="0" xfId="0" applyFont="1" applyAlignment="1">
      <alignment vertical="center"/>
    </xf>
    <xf numFmtId="0" fontId="28" fillId="0" borderId="0" xfId="0" applyFont="1"/>
    <xf numFmtId="0" fontId="0" fillId="13" borderId="0" xfId="0" applyFill="1"/>
    <xf numFmtId="164" fontId="0" fillId="5" borderId="0" xfId="0" applyNumberFormat="1" applyFill="1" applyBorder="1" applyAlignment="1">
      <alignment horizontal="center" vertical="center" wrapText="1"/>
    </xf>
    <xf numFmtId="0" fontId="13" fillId="5" borderId="2" xfId="0" applyFont="1" applyFill="1" applyBorder="1" applyAlignment="1">
      <alignment horizontal="center" vertical="center" wrapText="1"/>
    </xf>
    <xf numFmtId="165" fontId="0" fillId="5" borderId="0" xfId="0" applyNumberFormat="1" applyFill="1" applyBorder="1" applyAlignment="1">
      <alignment vertical="center"/>
    </xf>
    <xf numFmtId="167" fontId="0" fillId="5" borderId="0" xfId="0" applyNumberFormat="1" applyFill="1" applyBorder="1" applyAlignment="1">
      <alignment vertical="center"/>
    </xf>
    <xf numFmtId="164" fontId="0" fillId="5" borderId="0" xfId="0" applyNumberFormat="1" applyFill="1" applyBorder="1" applyAlignment="1">
      <alignment horizontal="center" vertical="center" wrapText="1"/>
    </xf>
    <xf numFmtId="0" fontId="6" fillId="2" borderId="0" xfId="4" applyFill="1" applyAlignment="1">
      <alignment horizontal="center"/>
    </xf>
    <xf numFmtId="0" fontId="6" fillId="2" borderId="0" xfId="4" applyFill="1"/>
    <xf numFmtId="0" fontId="6" fillId="2" borderId="0" xfId="4" applyFill="1" applyAlignment="1">
      <alignment horizontal="center" vertical="center"/>
    </xf>
    <xf numFmtId="0" fontId="6" fillId="2" borderId="0" xfId="4" applyFill="1" applyAlignment="1">
      <alignment wrapText="1"/>
    </xf>
    <xf numFmtId="0" fontId="55" fillId="2" borderId="0" xfId="4" applyFont="1" applyFill="1" applyAlignment="1">
      <alignment horizontal="center"/>
    </xf>
    <xf numFmtId="0" fontId="6" fillId="14" borderId="0" xfId="4" applyFill="1" applyAlignment="1">
      <alignment wrapText="1"/>
    </xf>
    <xf numFmtId="0" fontId="6" fillId="2" borderId="0" xfId="4" applyFill="1" applyAlignment="1">
      <alignment horizontal="center" wrapText="1"/>
    </xf>
    <xf numFmtId="0" fontId="56" fillId="2" borderId="1" xfId="4" applyFont="1" applyFill="1" applyBorder="1" applyAlignment="1">
      <alignment horizontal="center" vertical="center" wrapText="1"/>
    </xf>
    <xf numFmtId="0" fontId="56" fillId="2" borderId="0" xfId="4" applyFont="1" applyFill="1" applyAlignment="1">
      <alignment horizontal="center" wrapText="1"/>
    </xf>
    <xf numFmtId="0" fontId="56" fillId="2" borderId="1" xfId="4" applyFont="1" applyFill="1" applyBorder="1" applyAlignment="1">
      <alignment horizontal="left" vertical="center" wrapText="1"/>
    </xf>
    <xf numFmtId="0" fontId="56" fillId="2" borderId="0" xfId="4" applyFont="1" applyFill="1"/>
    <xf numFmtId="0" fontId="6" fillId="2" borderId="13" xfId="4" applyFill="1" applyBorder="1" applyAlignment="1">
      <alignment horizontal="center" wrapText="1"/>
    </xf>
    <xf numFmtId="0" fontId="56" fillId="17" borderId="13" xfId="4" applyFont="1" applyFill="1" applyBorder="1" applyAlignment="1">
      <alignment horizontal="center"/>
    </xf>
    <xf numFmtId="0" fontId="56" fillId="17" borderId="13" xfId="4" applyFont="1" applyFill="1" applyBorder="1" applyAlignment="1">
      <alignment horizontal="center" vertical="center" wrapText="1"/>
    </xf>
    <xf numFmtId="0" fontId="54" fillId="17" borderId="13" xfId="4" applyFont="1" applyFill="1" applyBorder="1" applyAlignment="1">
      <alignment horizontal="left" vertical="top" wrapText="1"/>
    </xf>
    <xf numFmtId="0" fontId="54" fillId="2" borderId="13" xfId="4" applyFont="1" applyFill="1" applyBorder="1" applyAlignment="1">
      <alignment horizontal="center" vertical="top" wrapText="1"/>
    </xf>
    <xf numFmtId="0" fontId="56" fillId="2" borderId="13" xfId="4" applyFont="1" applyFill="1" applyBorder="1" applyAlignment="1">
      <alignment horizontal="center" vertical="top" wrapText="1"/>
    </xf>
    <xf numFmtId="0" fontId="56" fillId="17" borderId="13" xfId="4" applyFont="1" applyFill="1" applyBorder="1" applyAlignment="1">
      <alignment horizontal="center" vertical="top" wrapText="1"/>
    </xf>
    <xf numFmtId="0" fontId="6" fillId="2" borderId="13" xfId="4" applyFill="1" applyBorder="1" applyAlignment="1">
      <alignment horizontal="center" vertical="top" wrapText="1"/>
    </xf>
    <xf numFmtId="0" fontId="6" fillId="14" borderId="0" xfId="4" applyFill="1" applyAlignment="1">
      <alignment horizontal="center" wrapText="1"/>
    </xf>
    <xf numFmtId="0" fontId="6" fillId="2" borderId="0" xfId="4" applyFill="1" applyAlignment="1">
      <alignment horizontal="left" wrapText="1"/>
    </xf>
    <xf numFmtId="0" fontId="56" fillId="17" borderId="0" xfId="4" applyFont="1" applyFill="1" applyAlignment="1">
      <alignment horizontal="center" vertical="center" textRotation="90"/>
    </xf>
    <xf numFmtId="164" fontId="56" fillId="17" borderId="0" xfId="4" applyNumberFormat="1" applyFont="1" applyFill="1" applyAlignment="1">
      <alignment horizontal="center" vertical="center"/>
    </xf>
    <xf numFmtId="0" fontId="56" fillId="17" borderId="0" xfId="4" applyFont="1" applyFill="1" applyAlignment="1">
      <alignment horizontal="left" vertical="top" wrapText="1"/>
    </xf>
    <xf numFmtId="0" fontId="56" fillId="2" borderId="0" xfId="4" applyFont="1" applyFill="1" applyAlignment="1">
      <alignment horizontal="left" vertical="top" wrapText="1"/>
    </xf>
    <xf numFmtId="0" fontId="56" fillId="17" borderId="0" xfId="4" applyFont="1" applyFill="1" applyAlignment="1">
      <alignment horizontal="center" vertical="center" textRotation="90" wrapText="1"/>
    </xf>
    <xf numFmtId="0" fontId="6" fillId="2" borderId="0" xfId="4" applyFill="1" applyAlignment="1">
      <alignment horizontal="left" vertical="top" wrapText="1"/>
    </xf>
    <xf numFmtId="0" fontId="56" fillId="17" borderId="0" xfId="4" applyFont="1" applyFill="1" applyAlignment="1">
      <alignment horizontal="left" vertical="center" textRotation="90"/>
    </xf>
    <xf numFmtId="164" fontId="56" fillId="17" borderId="0" xfId="4" applyNumberFormat="1" applyFont="1" applyFill="1" applyAlignment="1">
      <alignment horizontal="left" vertical="center" wrapText="1"/>
    </xf>
    <xf numFmtId="0" fontId="56" fillId="17" borderId="0" xfId="4" applyFont="1" applyFill="1" applyAlignment="1">
      <alignment horizontal="left" vertical="center" textRotation="90" wrapText="1"/>
    </xf>
    <xf numFmtId="2" fontId="56" fillId="17" borderId="0" xfId="4" applyNumberFormat="1" applyFont="1" applyFill="1" applyAlignment="1">
      <alignment horizontal="left" vertical="center" wrapText="1"/>
    </xf>
    <xf numFmtId="0" fontId="6" fillId="17" borderId="0" xfId="4" applyFill="1" applyAlignment="1">
      <alignment horizontal="left" vertical="center" textRotation="90"/>
    </xf>
    <xf numFmtId="0" fontId="56" fillId="17" borderId="0" xfId="4" applyFont="1" applyFill="1" applyAlignment="1">
      <alignment horizontal="left" vertical="center" wrapText="1"/>
    </xf>
    <xf numFmtId="0" fontId="54" fillId="17" borderId="0" xfId="4" applyFont="1" applyFill="1" applyAlignment="1">
      <alignment horizontal="left" vertical="top" wrapText="1"/>
    </xf>
    <xf numFmtId="164" fontId="56" fillId="17" borderId="0" xfId="4" applyNumberFormat="1" applyFont="1" applyFill="1" applyAlignment="1">
      <alignment horizontal="left" vertical="top" wrapText="1"/>
    </xf>
    <xf numFmtId="0" fontId="6" fillId="17" borderId="0" xfId="4" applyFill="1" applyAlignment="1">
      <alignment horizontal="left"/>
    </xf>
    <xf numFmtId="0" fontId="6" fillId="2" borderId="14" xfId="4" applyFill="1" applyBorder="1" applyAlignment="1">
      <alignment horizontal="left" wrapText="1"/>
    </xf>
    <xf numFmtId="0" fontId="6" fillId="17" borderId="14" xfId="4" applyFill="1" applyBorder="1" applyAlignment="1">
      <alignment horizontal="left"/>
    </xf>
    <xf numFmtId="0" fontId="56" fillId="17" borderId="14" xfId="4" applyFont="1" applyFill="1" applyBorder="1" applyAlignment="1">
      <alignment horizontal="left" vertical="center" wrapText="1"/>
    </xf>
    <xf numFmtId="0" fontId="56" fillId="17" borderId="14" xfId="4" applyFont="1" applyFill="1" applyBorder="1" applyAlignment="1">
      <alignment horizontal="left" vertical="top" wrapText="1"/>
    </xf>
    <xf numFmtId="0" fontId="56" fillId="2" borderId="14" xfId="4" applyFont="1" applyFill="1" applyBorder="1" applyAlignment="1">
      <alignment horizontal="left" vertical="top" wrapText="1"/>
    </xf>
    <xf numFmtId="0" fontId="6" fillId="2" borderId="14" xfId="4" applyFill="1" applyBorder="1" applyAlignment="1">
      <alignment horizontal="left" vertical="top" wrapText="1"/>
    </xf>
    <xf numFmtId="0" fontId="6" fillId="2" borderId="0" xfId="4" applyFill="1" applyAlignment="1">
      <alignment horizontal="left"/>
    </xf>
    <xf numFmtId="0" fontId="6" fillId="2" borderId="0" xfId="4" applyFill="1" applyAlignment="1">
      <alignment horizontal="left" vertical="center" wrapText="1"/>
    </xf>
    <xf numFmtId="0" fontId="55" fillId="2" borderId="0" xfId="4" applyFont="1" applyFill="1" applyAlignment="1">
      <alignment horizontal="left"/>
    </xf>
    <xf numFmtId="0" fontId="56" fillId="17" borderId="13" xfId="4" applyFont="1" applyFill="1" applyBorder="1" applyAlignment="1">
      <alignment horizontal="left" vertical="top" wrapText="1"/>
    </xf>
    <xf numFmtId="0" fontId="6" fillId="18" borderId="0" xfId="4" applyFill="1" applyAlignment="1">
      <alignment wrapText="1"/>
    </xf>
    <xf numFmtId="0" fontId="56" fillId="17" borderId="13" xfId="4" applyFont="1" applyFill="1" applyBorder="1" applyAlignment="1">
      <alignment vertical="top" wrapText="1"/>
    </xf>
    <xf numFmtId="0" fontId="6" fillId="19" borderId="0" xfId="4" applyFill="1" applyAlignment="1">
      <alignment wrapText="1"/>
    </xf>
    <xf numFmtId="0" fontId="56" fillId="17" borderId="0" xfId="4" applyFont="1" applyFill="1" applyAlignment="1">
      <alignment vertical="top" wrapText="1"/>
    </xf>
    <xf numFmtId="0" fontId="6" fillId="2" borderId="0" xfId="4" applyFill="1" applyAlignment="1">
      <alignment horizontal="center" vertical="center" wrapText="1"/>
    </xf>
    <xf numFmtId="0" fontId="57" fillId="2" borderId="0" xfId="4" applyFont="1" applyFill="1" applyAlignment="1">
      <alignment horizontal="center" vertical="center"/>
    </xf>
    <xf numFmtId="0" fontId="57" fillId="2" borderId="0" xfId="4" applyFont="1" applyFill="1" applyAlignment="1">
      <alignment horizontal="left" vertical="center" wrapText="1"/>
    </xf>
    <xf numFmtId="0" fontId="57" fillId="2" borderId="0" xfId="4" applyFont="1" applyFill="1" applyAlignment="1">
      <alignment horizontal="left"/>
    </xf>
    <xf numFmtId="164" fontId="13" fillId="5" borderId="1" xfId="0" applyNumberFormat="1" applyFont="1" applyFill="1" applyBorder="1" applyAlignment="1">
      <alignment horizontal="center" vertical="center" wrapText="1"/>
    </xf>
    <xf numFmtId="0" fontId="42" fillId="7" borderId="0" xfId="0" applyFont="1" applyFill="1" applyAlignment="1">
      <alignment horizontal="left" indent="1"/>
    </xf>
    <xf numFmtId="0" fontId="0" fillId="7" borderId="0" xfId="0" applyFill="1" applyAlignment="1">
      <alignment horizontal="left" indent="1"/>
    </xf>
    <xf numFmtId="0" fontId="43" fillId="0" borderId="0" xfId="0" applyFont="1" applyAlignment="1">
      <alignment horizontal="left" inden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0" xfId="0" applyFill="1" applyBorder="1" applyAlignment="1">
      <alignment horizontal="center" vertical="center" wrapText="1"/>
    </xf>
    <xf numFmtId="0" fontId="3" fillId="5" borderId="0" xfId="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2" borderId="0" xfId="0" applyFill="1" applyBorder="1" applyAlignment="1">
      <alignment horizontal="left" vertical="center" wrapText="1"/>
    </xf>
    <xf numFmtId="164" fontId="0" fillId="5" borderId="0" xfId="0" applyNumberFormat="1" applyFont="1" applyFill="1" applyBorder="1" applyAlignment="1">
      <alignment horizontal="center" vertical="center" wrapText="1"/>
    </xf>
    <xf numFmtId="0" fontId="56" fillId="17" borderId="0" xfId="4" applyFont="1" applyFill="1" applyAlignment="1">
      <alignment horizontal="left" vertical="top" wrapText="1"/>
    </xf>
    <xf numFmtId="0" fontId="56" fillId="17" borderId="14" xfId="4" applyFont="1" applyFill="1" applyBorder="1" applyAlignment="1">
      <alignment horizontal="left" vertical="top" wrapText="1"/>
    </xf>
    <xf numFmtId="164" fontId="0" fillId="5" borderId="0" xfId="0" applyNumberFormat="1" applyFill="1" applyBorder="1" applyAlignment="1">
      <alignment horizontal="right" vertical="center"/>
    </xf>
    <xf numFmtId="167" fontId="0" fillId="5" borderId="2" xfId="0" applyNumberFormat="1" applyFill="1" applyBorder="1" applyAlignment="1">
      <alignment horizontal="left" vertical="center"/>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164" fontId="0" fillId="5" borderId="2" xfId="0" applyNumberFormat="1" applyFill="1" applyBorder="1" applyAlignment="1">
      <alignment horizontal="center" vertical="center" wrapText="1"/>
    </xf>
    <xf numFmtId="0" fontId="0" fillId="5" borderId="1" xfId="0" applyFill="1" applyBorder="1" applyAlignment="1">
      <alignment horizontal="left" vertical="center"/>
    </xf>
    <xf numFmtId="0" fontId="0" fillId="2" borderId="0" xfId="0" applyFill="1" applyBorder="1" applyAlignment="1">
      <alignment horizontal="center" vertical="center"/>
    </xf>
    <xf numFmtId="1" fontId="0" fillId="5" borderId="2" xfId="0" applyNumberFormat="1" applyFont="1" applyFill="1" applyBorder="1" applyAlignment="1">
      <alignment vertical="center" wrapText="1"/>
    </xf>
    <xf numFmtId="1" fontId="0" fillId="5" borderId="0" xfId="0" applyNumberFormat="1" applyFont="1" applyFill="1" applyBorder="1" applyAlignment="1">
      <alignment vertical="center" wrapText="1"/>
    </xf>
    <xf numFmtId="164" fontId="0" fillId="5" borderId="1" xfId="0" applyNumberFormat="1" applyFont="1" applyFill="1" applyBorder="1" applyAlignment="1">
      <alignment horizontal="right" vertical="center"/>
    </xf>
    <xf numFmtId="0" fontId="9" fillId="2" borderId="2" xfId="0" applyFont="1" applyFill="1" applyBorder="1" applyAlignment="1">
      <alignment horizontal="left" vertical="center" wrapText="1"/>
    </xf>
    <xf numFmtId="0" fontId="9" fillId="5" borderId="0" xfId="0" applyFont="1" applyFill="1" applyBorder="1" applyAlignment="1">
      <alignment horizontal="left" vertical="center" textRotation="90"/>
    </xf>
    <xf numFmtId="164" fontId="9" fillId="5" borderId="2" xfId="0" applyNumberFormat="1"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1" xfId="0" applyFont="1" applyFill="1" applyBorder="1" applyAlignment="1">
      <alignment horizontal="left" vertical="center"/>
    </xf>
    <xf numFmtId="0" fontId="9" fillId="5" borderId="1" xfId="0" applyFont="1" applyFill="1" applyBorder="1" applyAlignment="1">
      <alignment horizontal="left" vertical="center" textRotation="90"/>
    </xf>
    <xf numFmtId="0" fontId="0" fillId="5" borderId="0" xfId="0" applyFont="1" applyFill="1" applyAlignment="1">
      <alignment horizontal="center" vertical="center" wrapText="1"/>
    </xf>
    <xf numFmtId="164" fontId="0" fillId="5" borderId="2" xfId="0" applyNumberFormat="1" applyFont="1" applyFill="1" applyBorder="1" applyAlignment="1">
      <alignment vertical="center" wrapText="1"/>
    </xf>
    <xf numFmtId="164" fontId="0" fillId="5" borderId="0" xfId="0" applyNumberFormat="1" applyFont="1" applyFill="1" applyBorder="1" applyAlignment="1">
      <alignment vertical="center" wrapText="1"/>
    </xf>
    <xf numFmtId="1" fontId="0" fillId="5" borderId="0" xfId="0" applyNumberFormat="1" applyFont="1" applyFill="1" applyBorder="1" applyAlignment="1">
      <alignment horizontal="right" vertical="center"/>
    </xf>
    <xf numFmtId="164" fontId="0" fillId="5" borderId="0" xfId="0" applyNumberFormat="1" applyFont="1" applyFill="1" applyBorder="1" applyAlignment="1">
      <alignment horizontal="right"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42" fillId="2" borderId="0" xfId="0" applyFont="1" applyFill="1" applyAlignment="1">
      <alignment horizontal="left" inden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0" xfId="0" applyFill="1" applyAlignment="1">
      <alignment horizontal="left" vertical="center" wrapText="1"/>
    </xf>
    <xf numFmtId="0" fontId="0" fillId="5" borderId="2" xfId="0" applyFill="1" applyBorder="1" applyAlignment="1">
      <alignment vertical="center" wrapText="1"/>
    </xf>
    <xf numFmtId="0" fontId="0" fillId="5" borderId="0" xfId="0" applyFill="1" applyBorder="1" applyAlignment="1">
      <alignmen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0" fontId="0" fillId="5" borderId="0" xfId="0" applyFill="1" applyBorder="1" applyAlignment="1">
      <alignment horizontal="left" wrapText="1"/>
    </xf>
    <xf numFmtId="164" fontId="0" fillId="5" borderId="1" xfId="0" applyNumberFormat="1" applyFill="1" applyBorder="1" applyAlignment="1">
      <alignment horizontal="center" vertical="center" wrapText="1"/>
    </xf>
    <xf numFmtId="0" fontId="13" fillId="5" borderId="0" xfId="0" applyFont="1" applyFill="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0" fillId="5" borderId="0" xfId="0" applyFont="1" applyFill="1" applyBorder="1" applyAlignment="1">
      <alignment vertical="center" wrapText="1"/>
    </xf>
    <xf numFmtId="1" fontId="0" fillId="5" borderId="2" xfId="0" applyNumberFormat="1" applyFill="1" applyBorder="1" applyAlignment="1">
      <alignment horizontal="left" vertical="center" wrapText="1"/>
    </xf>
    <xf numFmtId="1" fontId="0" fillId="5" borderId="0" xfId="0" applyNumberFormat="1" applyFill="1" applyBorder="1" applyAlignment="1">
      <alignment horizontal="left" vertical="center" wrapText="1"/>
    </xf>
    <xf numFmtId="0" fontId="0" fillId="2" borderId="0" xfId="0" applyFill="1" applyBorder="1" applyAlignment="1">
      <alignment horizontal="center" vertical="center"/>
    </xf>
    <xf numFmtId="0" fontId="0" fillId="5" borderId="0" xfId="0" applyFill="1" applyBorder="1" applyAlignment="1">
      <alignment horizontal="center" vertical="center" textRotation="90"/>
    </xf>
    <xf numFmtId="0" fontId="0" fillId="5" borderId="1" xfId="0" applyFill="1" applyBorder="1" applyAlignment="1">
      <alignment horizontal="center" vertical="center" textRotation="90"/>
    </xf>
    <xf numFmtId="0" fontId="0" fillId="5" borderId="1" xfId="0" applyFill="1" applyBorder="1" applyAlignment="1">
      <alignment horizontal="left" vertical="center"/>
    </xf>
    <xf numFmtId="0" fontId="47" fillId="2" borderId="1" xfId="0" applyFont="1" applyFill="1" applyBorder="1" applyAlignment="1">
      <alignment horizontal="center" vertical="center" wrapText="1"/>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168" fontId="56" fillId="17" borderId="0" xfId="4" applyNumberFormat="1" applyFont="1" applyFill="1" applyAlignment="1">
      <alignment horizontal="center" vertical="center"/>
    </xf>
    <xf numFmtId="164" fontId="9" fillId="7" borderId="0" xfId="5" applyNumberFormat="1" applyFont="1" applyFill="1" applyBorder="1" applyAlignment="1">
      <alignment horizontal="center" vertical="center" wrapText="1"/>
    </xf>
    <xf numFmtId="164" fontId="9" fillId="7" borderId="1" xfId="5" applyNumberFormat="1" applyFont="1" applyFill="1" applyBorder="1" applyAlignment="1">
      <alignment horizontal="center" vertical="center"/>
    </xf>
    <xf numFmtId="0" fontId="6" fillId="7" borderId="0" xfId="4" applyFill="1"/>
    <xf numFmtId="1" fontId="0" fillId="5" borderId="2" xfId="0" applyNumberFormat="1" applyFill="1" applyBorder="1" applyAlignment="1">
      <alignment horizontal="right" vertical="center"/>
    </xf>
    <xf numFmtId="0" fontId="0" fillId="7" borderId="0" xfId="0" applyFill="1" applyBorder="1" applyAlignment="1">
      <alignment horizontal="left" vertical="center" wrapText="1"/>
    </xf>
    <xf numFmtId="0" fontId="0" fillId="7" borderId="1" xfId="0" applyFill="1" applyBorder="1" applyAlignment="1">
      <alignment horizontal="left" vertical="center" wrapText="1"/>
    </xf>
    <xf numFmtId="0" fontId="41" fillId="2" borderId="0" xfId="3" applyFont="1" applyFill="1"/>
    <xf numFmtId="0" fontId="0" fillId="2" borderId="0" xfId="0" applyFill="1" applyAlignment="1"/>
    <xf numFmtId="0" fontId="44" fillId="2" borderId="0" xfId="3" applyFont="1" applyFill="1"/>
    <xf numFmtId="0" fontId="47" fillId="2" borderId="2" xfId="0" applyFont="1" applyFill="1" applyBorder="1"/>
    <xf numFmtId="0" fontId="47" fillId="2" borderId="0" xfId="0" applyFont="1" applyFill="1" applyBorder="1" applyAlignment="1">
      <alignment horizontal="center"/>
    </xf>
    <xf numFmtId="0" fontId="48" fillId="2" borderId="0" xfId="0" applyFont="1" applyFill="1" applyBorder="1"/>
    <xf numFmtId="0" fontId="48" fillId="2" borderId="0" xfId="0" applyFont="1" applyFill="1"/>
    <xf numFmtId="0" fontId="48" fillId="2" borderId="1" xfId="0" applyFont="1" applyFill="1" applyBorder="1"/>
    <xf numFmtId="0" fontId="48" fillId="2" borderId="0" xfId="0" applyFont="1" applyFill="1" applyBorder="1" applyAlignment="1">
      <alignment wrapText="1"/>
    </xf>
    <xf numFmtId="0" fontId="47" fillId="2" borderId="1" xfId="0" applyFont="1" applyFill="1" applyBorder="1"/>
    <xf numFmtId="0" fontId="47" fillId="2" borderId="1" xfId="0" applyFont="1" applyFill="1" applyBorder="1" applyAlignment="1">
      <alignment horizontal="left" vertical="center"/>
    </xf>
    <xf numFmtId="0" fontId="47" fillId="2" borderId="0" xfId="0" applyFont="1" applyFill="1" applyAlignment="1">
      <alignment horizontal="left" vertical="center"/>
    </xf>
    <xf numFmtId="0" fontId="47" fillId="2" borderId="3" xfId="0" applyFont="1" applyFill="1" applyBorder="1" applyAlignment="1">
      <alignment horizontal="left" vertical="center"/>
    </xf>
    <xf numFmtId="0" fontId="43" fillId="2" borderId="0" xfId="0" applyFont="1" applyFill="1"/>
    <xf numFmtId="0" fontId="42" fillId="2" borderId="0" xfId="0" applyFont="1" applyFill="1"/>
    <xf numFmtId="165" fontId="43" fillId="2" borderId="0" xfId="5" applyNumberFormat="1" applyFont="1" applyFill="1" applyAlignment="1"/>
    <xf numFmtId="165" fontId="42" fillId="2" borderId="0" xfId="5" applyNumberFormat="1" applyFont="1" applyFill="1" applyAlignment="1"/>
    <xf numFmtId="164" fontId="42" fillId="2" borderId="0" xfId="5" applyNumberFormat="1" applyFont="1" applyFill="1" applyAlignment="1"/>
    <xf numFmtId="164" fontId="0" fillId="2" borderId="0" xfId="0" applyNumberFormat="1" applyFill="1" applyAlignment="1"/>
    <xf numFmtId="164" fontId="43" fillId="2" borderId="0" xfId="0" applyNumberFormat="1" applyFont="1" applyFill="1" applyAlignment="1"/>
    <xf numFmtId="164" fontId="42" fillId="2" borderId="0" xfId="0" applyNumberFormat="1" applyFont="1" applyFill="1" applyAlignment="1"/>
    <xf numFmtId="167" fontId="42" fillId="2" borderId="0" xfId="5" applyNumberFormat="1" applyFont="1" applyFill="1" applyAlignment="1"/>
    <xf numFmtId="0" fontId="43" fillId="2" borderId="0" xfId="0" applyFont="1" applyFill="1" applyAlignment="1">
      <alignment horizontal="left"/>
    </xf>
    <xf numFmtId="164" fontId="43" fillId="2" borderId="0" xfId="5" applyNumberFormat="1" applyFont="1" applyFill="1" applyAlignment="1"/>
    <xf numFmtId="167" fontId="43" fillId="2" borderId="0" xfId="5" applyNumberFormat="1" applyFont="1" applyFill="1" applyAlignment="1"/>
    <xf numFmtId="167" fontId="43" fillId="2" borderId="0" xfId="5" applyNumberFormat="1" applyFont="1" applyFill="1"/>
    <xf numFmtId="167" fontId="42" fillId="2" borderId="0" xfId="5" applyNumberFormat="1" applyFont="1" applyFill="1"/>
    <xf numFmtId="164" fontId="43" fillId="2" borderId="0" xfId="0" applyNumberFormat="1" applyFont="1" applyFill="1"/>
    <xf numFmtId="164" fontId="42" fillId="2" borderId="0" xfId="0" applyNumberFormat="1" applyFont="1" applyFill="1"/>
    <xf numFmtId="0" fontId="43" fillId="2" borderId="0" xfId="0" applyFont="1" applyFill="1" applyAlignment="1">
      <alignment horizontal="left" indent="1"/>
    </xf>
    <xf numFmtId="165" fontId="43" fillId="2" borderId="0" xfId="5" applyNumberFormat="1" applyFont="1" applyFill="1"/>
    <xf numFmtId="165" fontId="42" fillId="2" borderId="0" xfId="5" applyNumberFormat="1" applyFont="1" applyFill="1"/>
    <xf numFmtId="0" fontId="42" fillId="2" borderId="1" xfId="0" applyFont="1" applyFill="1" applyBorder="1"/>
    <xf numFmtId="0" fontId="42" fillId="2" borderId="0" xfId="0" applyFont="1" applyFill="1" applyAlignment="1">
      <alignment horizontal="left"/>
    </xf>
    <xf numFmtId="0" fontId="0" fillId="19" borderId="0" xfId="0" applyFill="1"/>
    <xf numFmtId="0" fontId="47" fillId="2" borderId="1" xfId="0" applyFont="1" applyFill="1" applyBorder="1" applyAlignment="1">
      <alignment horizontal="center" vertical="center" wrapText="1"/>
    </xf>
    <xf numFmtId="164" fontId="42" fillId="7" borderId="0" xfId="5" applyNumberFormat="1" applyFont="1" applyFill="1" applyAlignment="1"/>
    <xf numFmtId="1" fontId="42" fillId="7" borderId="0" xfId="5" applyNumberFormat="1" applyFont="1" applyFill="1" applyAlignment="1"/>
    <xf numFmtId="164" fontId="59" fillId="0" borderId="0" xfId="5" applyNumberFormat="1" applyFont="1" applyFill="1" applyAlignment="1"/>
    <xf numFmtId="164" fontId="59" fillId="2" borderId="0" xfId="5" applyNumberFormat="1" applyFont="1" applyFill="1" applyAlignment="1"/>
    <xf numFmtId="164" fontId="60" fillId="2" borderId="0" xfId="5" applyNumberFormat="1" applyFont="1" applyFill="1" applyAlignment="1"/>
    <xf numFmtId="164" fontId="60" fillId="2" borderId="0" xfId="5" applyNumberFormat="1" applyFont="1" applyFill="1"/>
    <xf numFmtId="164" fontId="59" fillId="2" borderId="0" xfId="5" applyNumberFormat="1" applyFont="1" applyFill="1"/>
    <xf numFmtId="167" fontId="59" fillId="2" borderId="0" xfId="5" applyNumberFormat="1" applyFont="1" applyFill="1" applyAlignment="1"/>
    <xf numFmtId="0" fontId="7" fillId="2" borderId="0" xfId="0" applyFont="1" applyFill="1" applyAlignment="1"/>
    <xf numFmtId="165" fontId="43" fillId="7" borderId="0" xfId="5" applyNumberFormat="1" applyFont="1" applyFill="1"/>
    <xf numFmtId="165" fontId="42" fillId="7" borderId="0" xfId="5" applyNumberFormat="1" applyFont="1" applyFill="1"/>
    <xf numFmtId="165" fontId="42" fillId="2" borderId="0" xfId="0" applyNumberFormat="1" applyFont="1" applyFill="1"/>
    <xf numFmtId="0" fontId="59" fillId="2" borderId="0" xfId="0" applyFont="1" applyFill="1" applyAlignment="1">
      <alignment horizontal="left" indent="1"/>
    </xf>
    <xf numFmtId="0" fontId="59" fillId="7" borderId="0" xfId="0" applyFont="1" applyFill="1" applyAlignment="1">
      <alignment horizontal="left" indent="1"/>
    </xf>
    <xf numFmtId="165" fontId="59" fillId="2" borderId="0" xfId="5" applyNumberFormat="1" applyFont="1" applyFill="1" applyAlignment="1"/>
    <xf numFmtId="164" fontId="60" fillId="0" borderId="0" xfId="5" applyNumberFormat="1" applyFont="1" applyFill="1"/>
    <xf numFmtId="164" fontId="59" fillId="0" borderId="0" xfId="5" applyNumberFormat="1" applyFont="1" applyFill="1"/>
    <xf numFmtId="167" fontId="59" fillId="0" borderId="0" xfId="5" applyNumberFormat="1" applyFont="1" applyFill="1"/>
    <xf numFmtId="0" fontId="7" fillId="0" borderId="0" xfId="0" applyFont="1" applyFill="1"/>
    <xf numFmtId="165" fontId="59" fillId="0" borderId="0" xfId="5" applyNumberFormat="1" applyFont="1" applyFill="1"/>
    <xf numFmtId="0" fontId="7" fillId="2" borderId="0" xfId="0" applyFont="1" applyFill="1" applyAlignment="1">
      <alignment horizontal="left" indent="1"/>
    </xf>
    <xf numFmtId="0" fontId="7" fillId="7" borderId="0" xfId="0" applyFont="1" applyFill="1" applyAlignment="1">
      <alignment horizontal="left" indent="1"/>
    </xf>
    <xf numFmtId="2" fontId="60" fillId="2" borderId="0" xfId="5" applyNumberFormat="1" applyFont="1" applyFill="1" applyAlignment="1"/>
    <xf numFmtId="2" fontId="59" fillId="2" borderId="0" xfId="5" applyNumberFormat="1" applyFont="1" applyFill="1" applyAlignment="1"/>
    <xf numFmtId="1" fontId="61" fillId="5" borderId="2" xfId="5" applyNumberFormat="1" applyFont="1" applyFill="1" applyBorder="1" applyAlignment="1">
      <alignment horizontal="center" vertical="center" wrapText="1"/>
    </xf>
    <xf numFmtId="1" fontId="61" fillId="5" borderId="2"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62" fillId="0" borderId="0" xfId="0" applyFont="1"/>
    <xf numFmtId="2" fontId="0" fillId="2" borderId="0" xfId="0" applyNumberFormat="1" applyFill="1"/>
    <xf numFmtId="164" fontId="42" fillId="0" borderId="0" xfId="5" applyNumberFormat="1" applyFont="1" applyFill="1" applyAlignment="1"/>
    <xf numFmtId="164" fontId="43" fillId="0" borderId="0" xfId="5" applyNumberFormat="1" applyFont="1" applyFill="1" applyAlignment="1"/>
    <xf numFmtId="165" fontId="42" fillId="0" borderId="0" xfId="5" applyNumberFormat="1" applyFont="1" applyFill="1" applyAlignment="1"/>
    <xf numFmtId="167" fontId="42" fillId="0" borderId="0" xfId="5" applyNumberFormat="1" applyFont="1" applyFill="1" applyAlignment="1"/>
    <xf numFmtId="0" fontId="0" fillId="0" borderId="0" xfId="0" applyFill="1" applyAlignment="1"/>
    <xf numFmtId="0" fontId="62" fillId="0" borderId="0" xfId="0" applyFont="1" applyFill="1"/>
    <xf numFmtId="0" fontId="42" fillId="0" borderId="0" xfId="0" applyFont="1" applyFill="1" applyAlignment="1">
      <alignment horizontal="left" indent="1"/>
    </xf>
    <xf numFmtId="165" fontId="0" fillId="2" borderId="0" xfId="0" applyNumberFormat="1" applyFill="1"/>
    <xf numFmtId="164" fontId="0" fillId="5" borderId="2" xfId="0" applyNumberForma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0" fontId="7" fillId="7" borderId="0" xfId="0" applyFont="1" applyFill="1"/>
    <xf numFmtId="2" fontId="0" fillId="5" borderId="1" xfId="0" applyNumberFormat="1" applyFont="1" applyFill="1" applyBorder="1" applyAlignment="1">
      <alignment horizontal="center" vertical="center"/>
    </xf>
    <xf numFmtId="164" fontId="42" fillId="0" borderId="0" xfId="0" applyNumberFormat="1" applyFont="1" applyFill="1" applyAlignment="1"/>
    <xf numFmtId="164" fontId="43" fillId="0" borderId="0" xfId="0" applyNumberFormat="1" applyFont="1" applyFill="1" applyAlignment="1"/>
    <xf numFmtId="165" fontId="43" fillId="0" borderId="0" xfId="5" applyNumberFormat="1" applyFont="1" applyFill="1" applyAlignment="1"/>
    <xf numFmtId="164" fontId="43" fillId="0" borderId="0" xfId="5" applyNumberFormat="1" applyFont="1" applyFill="1" applyAlignment="1">
      <alignment horizontal="right"/>
    </xf>
    <xf numFmtId="165" fontId="43" fillId="0" borderId="0" xfId="5" applyNumberFormat="1" applyFont="1" applyFill="1" applyAlignment="1">
      <alignment horizontal="right"/>
    </xf>
    <xf numFmtId="2" fontId="0" fillId="0" borderId="0" xfId="0" applyNumberFormat="1"/>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2" borderId="0" xfId="0" applyFill="1" applyBorder="1" applyAlignment="1">
      <alignment horizontal="left" vertical="center" wrapText="1"/>
    </xf>
    <xf numFmtId="0" fontId="0" fillId="5" borderId="0" xfId="0" applyFont="1" applyFill="1" applyBorder="1" applyAlignment="1">
      <alignment vertical="center" wrapText="1"/>
    </xf>
    <xf numFmtId="0" fontId="0" fillId="5" borderId="2" xfId="0" applyFill="1" applyBorder="1" applyAlignment="1">
      <alignment horizontal="center"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2" borderId="2" xfId="0" applyFill="1" applyBorder="1" applyAlignment="1">
      <alignment horizontal="left" vertical="center" wrapText="1"/>
    </xf>
    <xf numFmtId="164" fontId="0" fillId="5" borderId="2" xfId="0" applyNumberForma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 xfId="0" applyFill="1" applyBorder="1" applyAlignment="1">
      <alignment horizontal="left" vertical="center"/>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167" fontId="0" fillId="5" borderId="1" xfId="0" applyNumberFormat="1" applyFill="1" applyBorder="1" applyAlignment="1">
      <alignment vertical="center"/>
    </xf>
    <xf numFmtId="1" fontId="43" fillId="0" borderId="0" xfId="5" applyNumberFormat="1" applyFont="1" applyFill="1" applyAlignment="1">
      <alignment horizontal="right"/>
    </xf>
    <xf numFmtId="1" fontId="42" fillId="0" borderId="0" xfId="5" applyNumberFormat="1" applyFont="1" applyFill="1" applyAlignment="1"/>
    <xf numFmtId="1" fontId="43" fillId="0" borderId="0" xfId="5" applyNumberFormat="1" applyFont="1" applyFill="1" applyAlignment="1"/>
    <xf numFmtId="0" fontId="0" fillId="5" borderId="1" xfId="0"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0" xfId="0" applyFont="1" applyFill="1" applyAlignment="1">
      <alignment horizontal="left" vertical="center" wrapText="1"/>
    </xf>
    <xf numFmtId="0" fontId="0" fillId="5" borderId="0" xfId="0" applyFill="1" applyAlignment="1">
      <alignment horizontal="left" vertical="center" wrapText="1"/>
    </xf>
    <xf numFmtId="0" fontId="7" fillId="5" borderId="2"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1" fontId="13" fillId="5" borderId="0" xfId="0" applyNumberFormat="1" applyFont="1" applyFill="1" applyAlignment="1">
      <alignment horizontal="center" vertical="center"/>
    </xf>
    <xf numFmtId="1" fontId="0" fillId="5" borderId="0" xfId="0" applyNumberFormat="1" applyFill="1" applyAlignment="1">
      <alignment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Alignment="1">
      <alignment horizontal="left" vertical="center" wrapText="1"/>
    </xf>
    <xf numFmtId="164" fontId="0" fillId="5" borderId="2"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1" fontId="13" fillId="5" borderId="0" xfId="0" applyNumberFormat="1" applyFont="1" applyFill="1" applyAlignment="1">
      <alignment horizontal="center" vertical="center" wrapText="1"/>
    </xf>
    <xf numFmtId="0" fontId="0" fillId="5" borderId="0" xfId="0" applyFill="1" applyAlignment="1">
      <alignment horizontal="left" wrapText="1"/>
    </xf>
    <xf numFmtId="164" fontId="0" fillId="5" borderId="0" xfId="0" applyNumberFormat="1" applyFill="1" applyAlignment="1">
      <alignment horizontal="center" vertical="center" wrapText="1"/>
    </xf>
    <xf numFmtId="0" fontId="0" fillId="2" borderId="0" xfId="0" applyFill="1" applyAlignment="1">
      <alignment vertical="center" wrapText="1"/>
    </xf>
    <xf numFmtId="164" fontId="9" fillId="5" borderId="0" xfId="0" applyNumberFormat="1" applyFont="1" applyFill="1" applyAlignment="1">
      <alignment horizontal="center" vertical="center"/>
    </xf>
    <xf numFmtId="164" fontId="0" fillId="5" borderId="0" xfId="0" applyNumberFormat="1" applyFill="1" applyAlignment="1">
      <alignment horizontal="lef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0" fontId="1" fillId="0" borderId="0" xfId="0" applyFont="1" applyFill="1"/>
    <xf numFmtId="16" fontId="0" fillId="0" borderId="0" xfId="0" applyNumberFormat="1" applyFill="1"/>
    <xf numFmtId="0" fontId="13" fillId="0" borderId="0" xfId="0" applyFont="1" applyFill="1"/>
    <xf numFmtId="0" fontId="0" fillId="0" borderId="15" xfId="0" applyBorder="1"/>
    <xf numFmtId="0" fontId="1" fillId="0" borderId="15" xfId="0" applyFont="1" applyBorder="1"/>
    <xf numFmtId="0" fontId="0" fillId="14" borderId="15" xfId="0" applyFill="1" applyBorder="1"/>
    <xf numFmtId="0" fontId="0" fillId="15" borderId="15" xfId="0" applyFill="1" applyBorder="1"/>
    <xf numFmtId="0" fontId="0" fillId="16" borderId="15" xfId="0" applyFill="1" applyBorder="1"/>
    <xf numFmtId="0" fontId="0" fillId="12" borderId="15" xfId="0" applyFill="1" applyBorder="1"/>
    <xf numFmtId="0" fontId="0" fillId="7" borderId="15" xfId="0" applyFill="1" applyBorder="1"/>
    <xf numFmtId="0" fontId="0" fillId="13" borderId="15" xfId="0" applyFill="1" applyBorder="1"/>
    <xf numFmtId="0" fontId="25" fillId="0" borderId="15" xfId="0" applyFont="1" applyBorder="1"/>
    <xf numFmtId="0" fontId="25" fillId="0" borderId="0" xfId="0" applyFont="1"/>
    <xf numFmtId="0" fontId="0" fillId="5" borderId="2" xfId="0" applyFill="1" applyBorder="1" applyAlignment="1">
      <alignment horizontal="center" vertical="center" wrapText="1"/>
    </xf>
    <xf numFmtId="164" fontId="0" fillId="5" borderId="2" xfId="0" applyNumberFormat="1" applyFill="1" applyBorder="1" applyAlignment="1">
      <alignment horizontal="center" vertical="center" wrapText="1"/>
    </xf>
    <xf numFmtId="164" fontId="0" fillId="5" borderId="2" xfId="0" applyNumberFormat="1" applyFont="1" applyFill="1" applyBorder="1" applyAlignment="1">
      <alignment horizontal="center" vertical="center" wrapText="1"/>
    </xf>
    <xf numFmtId="165" fontId="0" fillId="5" borderId="2" xfId="5" applyNumberFormat="1" applyFont="1" applyFill="1" applyBorder="1" applyAlignment="1">
      <alignment vertical="center" wrapText="1"/>
    </xf>
    <xf numFmtId="164" fontId="0" fillId="5" borderId="2" xfId="0" applyNumberForma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1" fontId="7" fillId="5" borderId="0" xfId="0" applyNumberFormat="1" applyFont="1" applyFill="1" applyBorder="1" applyAlignment="1">
      <alignment horizontal="center" vertical="center" wrapText="1"/>
    </xf>
    <xf numFmtId="164" fontId="7" fillId="5" borderId="0" xfId="0" applyNumberFormat="1" applyFont="1" applyFill="1" applyBorder="1" applyAlignment="1">
      <alignment horizontal="center" vertical="center"/>
    </xf>
    <xf numFmtId="164" fontId="7" fillId="5" borderId="2" xfId="0" applyNumberFormat="1" applyFont="1" applyFill="1" applyBorder="1" applyAlignment="1">
      <alignment vertical="center" wrapText="1"/>
    </xf>
    <xf numFmtId="165" fontId="13" fillId="5" borderId="2" xfId="0" applyNumberFormat="1" applyFont="1" applyFill="1" applyBorder="1" applyAlignment="1">
      <alignment horizontal="center" vertical="center"/>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0" xfId="0" applyFill="1" applyAlignment="1">
      <alignment horizontal="left" vertical="center" wrapText="1"/>
    </xf>
    <xf numFmtId="0" fontId="0" fillId="5" borderId="2" xfId="0" applyFill="1" applyBorder="1" applyAlignment="1">
      <alignmen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164" fontId="0" fillId="5" borderId="1" xfId="0" applyNumberFormat="1" applyFill="1" applyBorder="1" applyAlignment="1">
      <alignment horizontal="center" vertical="center" wrapText="1"/>
    </xf>
    <xf numFmtId="0" fontId="13" fillId="5" borderId="0" xfId="0" applyFont="1" applyFill="1" applyAlignment="1">
      <alignment horizontal="left" vertical="center" wrapText="1"/>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0" fillId="5" borderId="0" xfId="0" applyFont="1" applyFill="1" applyBorder="1" applyAlignment="1">
      <alignment vertical="center" wrapText="1"/>
    </xf>
    <xf numFmtId="1" fontId="0" fillId="5" borderId="2" xfId="0" applyNumberFormat="1" applyFill="1" applyBorder="1" applyAlignment="1">
      <alignment horizontal="left" vertical="center" wrapText="1"/>
    </xf>
    <xf numFmtId="1" fontId="0" fillId="5" borderId="0" xfId="0" applyNumberFormat="1" applyFill="1" applyBorder="1" applyAlignment="1">
      <alignment horizontal="left" vertical="center" wrapText="1"/>
    </xf>
    <xf numFmtId="0" fontId="0" fillId="2" borderId="0" xfId="0" applyFill="1" applyBorder="1" applyAlignment="1">
      <alignment horizontal="center" vertical="center"/>
    </xf>
    <xf numFmtId="0" fontId="13" fillId="5" borderId="0" xfId="0" applyFont="1" applyFill="1" applyAlignment="1">
      <alignment horizontal="center" vertical="center" wrapText="1"/>
    </xf>
    <xf numFmtId="0" fontId="0" fillId="5" borderId="1" xfId="0" applyFill="1" applyBorder="1" applyAlignment="1">
      <alignment horizontal="left" vertical="center"/>
    </xf>
    <xf numFmtId="0" fontId="47" fillId="2" borderId="1" xfId="0" applyFont="1" applyFill="1" applyBorder="1" applyAlignment="1">
      <alignment horizontal="center" vertical="center" wrapText="1"/>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164" fontId="13" fillId="5" borderId="0" xfId="0" applyNumberFormat="1" applyFont="1" applyFill="1" applyAlignment="1">
      <alignment horizontal="center" vertical="center" wrapText="1"/>
    </xf>
    <xf numFmtId="0" fontId="0" fillId="5" borderId="0" xfId="0" applyFont="1" applyFill="1" applyBorder="1" applyAlignment="1">
      <alignment horizontal="left" vertical="center" wrapText="1"/>
    </xf>
    <xf numFmtId="164" fontId="0" fillId="5" borderId="0" xfId="0" applyNumberFormat="1" applyFill="1" applyBorder="1" applyAlignment="1">
      <alignment horizontal="center" vertical="center" wrapText="1"/>
    </xf>
    <xf numFmtId="0" fontId="0" fillId="2" borderId="0" xfId="0" applyFill="1" applyAlignment="1">
      <alignment horizontal="center" vertical="center"/>
    </xf>
    <xf numFmtId="0" fontId="0" fillId="5" borderId="2" xfId="0" applyFill="1" applyBorder="1" applyAlignment="1">
      <alignment horizontal="left" vertical="center" wrapText="1"/>
    </xf>
    <xf numFmtId="164" fontId="0" fillId="5" borderId="2" xfId="0" applyNumberFormat="1" applyFont="1" applyFill="1" applyBorder="1" applyAlignment="1">
      <alignment horizontal="center"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horizontal="left" vertical="center"/>
    </xf>
    <xf numFmtId="164" fontId="0" fillId="5" borderId="0"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0" fontId="0" fillId="2" borderId="0" xfId="0" applyFont="1" applyFill="1" applyBorder="1" applyAlignment="1">
      <alignment horizontal="center" vertical="center"/>
    </xf>
    <xf numFmtId="0" fontId="0" fillId="5" borderId="0" xfId="0" applyFill="1" applyAlignment="1">
      <alignment horizontal="center" vertical="center" wrapText="1"/>
    </xf>
    <xf numFmtId="164" fontId="13" fillId="5" borderId="2" xfId="0" applyNumberFormat="1"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applyFill="1" applyBorder="1" applyAlignment="1">
      <alignment horizontal="center" vertical="center" wrapText="1"/>
    </xf>
    <xf numFmtId="0" fontId="0" fillId="2" borderId="2" xfId="0" applyFill="1" applyBorder="1" applyAlignment="1">
      <alignment horizontal="left" vertical="center" wrapText="1"/>
    </xf>
    <xf numFmtId="164" fontId="0"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0" xfId="0" applyFont="1" applyFill="1" applyAlignment="1">
      <alignment horizontal="left" vertical="center" wrapText="1"/>
    </xf>
    <xf numFmtId="164" fontId="13" fillId="5" borderId="0" xfId="0" applyNumberFormat="1" applyFont="1" applyFill="1" applyAlignment="1">
      <alignment horizontal="center" vertical="center"/>
    </xf>
    <xf numFmtId="164" fontId="13" fillId="5" borderId="2" xfId="5" applyNumberFormat="1" applyFont="1" applyFill="1" applyBorder="1" applyAlignment="1">
      <alignment horizontal="center" vertical="center" wrapText="1"/>
    </xf>
    <xf numFmtId="164" fontId="13" fillId="5" borderId="1" xfId="5" applyNumberFormat="1" applyFont="1" applyFill="1" applyBorder="1" applyAlignment="1">
      <alignment horizontal="center" vertical="center"/>
    </xf>
    <xf numFmtId="164" fontId="0" fillId="5" borderId="0"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164" fontId="0" fillId="5" borderId="2" xfId="0" applyNumberFormat="1" applyFill="1" applyBorder="1" applyAlignment="1">
      <alignment horizontal="center"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3" fillId="5" borderId="0" xfId="1" applyFill="1" applyBorder="1" applyAlignment="1">
      <alignment horizontal="left" vertical="center" wrapText="1"/>
    </xf>
    <xf numFmtId="0" fontId="0" fillId="5" borderId="0" xfId="0" applyFont="1" applyFill="1" applyBorder="1" applyAlignment="1">
      <alignment horizontal="left" vertical="center" wrapText="1"/>
    </xf>
    <xf numFmtId="0" fontId="0" fillId="2" borderId="0" xfId="0" applyFill="1" applyBorder="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3" fillId="5" borderId="0" xfId="1" applyFill="1" applyBorder="1" applyAlignment="1">
      <alignment horizontal="left" vertical="center" wrapText="1"/>
    </xf>
    <xf numFmtId="0" fontId="0" fillId="2" borderId="0" xfId="0" applyFill="1" applyBorder="1" applyAlignment="1">
      <alignment horizontal="center" vertical="center"/>
    </xf>
    <xf numFmtId="164" fontId="0" fillId="5" borderId="0" xfId="0" applyNumberFormat="1"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0" fontId="0" fillId="5" borderId="0" xfId="0" applyFill="1" applyAlignment="1">
      <alignment horizontal="left" vertical="center" wrapText="1"/>
    </xf>
    <xf numFmtId="0" fontId="0" fillId="2" borderId="2" xfId="0" applyFill="1" applyBorder="1" applyAlignment="1">
      <alignment horizontal="left" vertical="center" wrapText="1"/>
    </xf>
    <xf numFmtId="164" fontId="0" fillId="5" borderId="2" xfId="0" applyNumberFormat="1" applyFill="1" applyBorder="1" applyAlignment="1">
      <alignment horizontal="center" vertical="center" wrapText="1"/>
    </xf>
    <xf numFmtId="164" fontId="0" fillId="5" borderId="1" xfId="0" applyNumberFormat="1" applyFill="1" applyBorder="1" applyAlignment="1">
      <alignment horizontal="center" vertical="center" wrapText="1"/>
    </xf>
    <xf numFmtId="0" fontId="13" fillId="5" borderId="2" xfId="0" applyFont="1" applyFill="1" applyBorder="1" applyAlignment="1">
      <alignment horizontal="center" vertical="center" wrapText="1"/>
    </xf>
    <xf numFmtId="0" fontId="0" fillId="5" borderId="0" xfId="0" applyFill="1" applyAlignment="1">
      <alignment horizontal="left" vertical="center"/>
    </xf>
    <xf numFmtId="0" fontId="0" fillId="2" borderId="0" xfId="0" applyFill="1" applyAlignment="1">
      <alignment horizontal="left" vertical="center" wrapText="1"/>
    </xf>
    <xf numFmtId="164" fontId="0" fillId="5" borderId="0" xfId="0" applyNumberFormat="1" applyFill="1" applyAlignment="1">
      <alignmen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164" fontId="9" fillId="5" borderId="2" xfId="0" applyNumberFormat="1" applyFont="1" applyFill="1" applyBorder="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center"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0" fillId="5" borderId="2" xfId="0" applyFill="1" applyBorder="1" applyAlignment="1">
      <alignment horizontal="left" wrapText="1"/>
    </xf>
    <xf numFmtId="0" fontId="0" fillId="5" borderId="0" xfId="0" applyFill="1" applyBorder="1" applyAlignment="1">
      <alignment horizontal="left" wrapText="1"/>
    </xf>
    <xf numFmtId="0" fontId="0" fillId="5" borderId="1" xfId="0" applyFill="1" applyBorder="1" applyAlignment="1">
      <alignment horizontal="left" wrapText="1"/>
    </xf>
    <xf numFmtId="164" fontId="13" fillId="5" borderId="2" xfId="5" applyNumberFormat="1" applyFont="1" applyFill="1" applyBorder="1" applyAlignment="1">
      <alignment horizontal="center" vertical="center"/>
    </xf>
    <xf numFmtId="165" fontId="0" fillId="5" borderId="2" xfId="5" applyNumberFormat="1"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2" borderId="0" xfId="0" applyFont="1" applyFill="1" applyBorder="1" applyAlignment="1">
      <alignment vertical="center" wrapText="1"/>
    </xf>
    <xf numFmtId="0" fontId="13" fillId="5" borderId="0" xfId="0" applyFont="1" applyFill="1" applyBorder="1" applyAlignment="1">
      <alignment horizontal="left" vertical="center" textRotation="90"/>
    </xf>
    <xf numFmtId="1" fontId="13" fillId="5" borderId="2" xfId="0" applyNumberFormat="1" applyFont="1" applyFill="1" applyBorder="1" applyAlignment="1">
      <alignment vertical="center" wrapText="1"/>
    </xf>
    <xf numFmtId="164" fontId="13" fillId="5" borderId="0" xfId="5" applyNumberFormat="1" applyFont="1" applyFill="1" applyBorder="1" applyAlignment="1">
      <alignment horizontal="center" vertical="center" wrapText="1"/>
    </xf>
    <xf numFmtId="0" fontId="13" fillId="2" borderId="0" xfId="0" applyFont="1" applyFill="1" applyBorder="1"/>
    <xf numFmtId="164" fontId="13" fillId="5" borderId="0" xfId="0" applyNumberFormat="1" applyFont="1" applyFill="1" applyBorder="1" applyAlignment="1">
      <alignment vertical="center" wrapText="1"/>
    </xf>
    <xf numFmtId="0" fontId="13" fillId="2" borderId="1" xfId="0" applyFont="1" applyFill="1" applyBorder="1" applyAlignment="1">
      <alignment horizontal="left" vertical="center"/>
    </xf>
    <xf numFmtId="0" fontId="13" fillId="5" borderId="1" xfId="0" applyFont="1" applyFill="1" applyBorder="1" applyAlignment="1">
      <alignment horizontal="left" vertical="center" textRotation="90"/>
    </xf>
    <xf numFmtId="164" fontId="13" fillId="5" borderId="1" xfId="0" applyNumberFormat="1" applyFont="1" applyFill="1" applyBorder="1" applyAlignment="1">
      <alignment horizontal="right" vertical="center"/>
    </xf>
    <xf numFmtId="0" fontId="13" fillId="5" borderId="1" xfId="0" applyFont="1" applyFill="1" applyBorder="1" applyAlignment="1">
      <alignment horizontal="left" vertical="center"/>
    </xf>
    <xf numFmtId="0" fontId="13" fillId="2" borderId="1" xfId="0" applyFont="1" applyFill="1" applyBorder="1" applyAlignment="1">
      <alignment vertical="center"/>
    </xf>
    <xf numFmtId="0" fontId="49" fillId="5" borderId="1" xfId="1"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0" fillId="5" borderId="2" xfId="0" applyFill="1" applyBorder="1" applyAlignment="1">
      <alignment horizontal="center" vertical="center" wrapText="1"/>
    </xf>
    <xf numFmtId="0" fontId="14" fillId="2" borderId="0" xfId="0" applyFont="1" applyFill="1"/>
    <xf numFmtId="0" fontId="0" fillId="2" borderId="6" xfId="0" applyFill="1" applyBorder="1"/>
    <xf numFmtId="0" fontId="5" fillId="2" borderId="2" xfId="3" applyFill="1" applyBorder="1"/>
    <xf numFmtId="0" fontId="5" fillId="2" borderId="17" xfId="3" applyFill="1" applyBorder="1"/>
    <xf numFmtId="2" fontId="0" fillId="2" borderId="15" xfId="0" applyNumberFormat="1" applyFill="1" applyBorder="1"/>
    <xf numFmtId="0" fontId="0" fillId="2" borderId="18" xfId="0" applyFill="1" applyBorder="1"/>
    <xf numFmtId="0" fontId="0" fillId="2" borderId="15" xfId="0" applyFill="1" applyBorder="1"/>
    <xf numFmtId="0" fontId="0" fillId="2" borderId="0" xfId="0" quotePrefix="1" applyFill="1"/>
    <xf numFmtId="0" fontId="0" fillId="2" borderId="10" xfId="0" applyFill="1" applyBorder="1"/>
    <xf numFmtId="164" fontId="0" fillId="2" borderId="1" xfId="0" applyNumberFormat="1" applyFill="1" applyBorder="1"/>
    <xf numFmtId="0" fontId="0" fillId="2" borderId="19" xfId="0" applyFill="1" applyBorder="1"/>
    <xf numFmtId="0" fontId="0" fillId="2" borderId="17" xfId="0" applyFill="1" applyBorder="1"/>
    <xf numFmtId="2" fontId="0" fillId="2" borderId="1" xfId="0" applyNumberFormat="1" applyFill="1" applyBorder="1"/>
    <xf numFmtId="2" fontId="0" fillId="2" borderId="18" xfId="0" applyNumberFormat="1" applyFill="1" applyBorder="1"/>
    <xf numFmtId="0" fontId="79" fillId="2" borderId="0" xfId="0" applyFont="1" applyFill="1"/>
    <xf numFmtId="2" fontId="0" fillId="2" borderId="19" xfId="0" applyNumberFormat="1" applyFill="1" applyBorder="1"/>
    <xf numFmtId="0" fontId="47" fillId="2" borderId="21" xfId="0" applyFont="1" applyFill="1" applyBorder="1"/>
    <xf numFmtId="0" fontId="47" fillId="2" borderId="0" xfId="0" applyFont="1" applyFill="1" applyAlignment="1">
      <alignment horizontal="center"/>
    </xf>
    <xf numFmtId="0" fontId="48" fillId="2" borderId="0" xfId="0" applyFont="1" applyFill="1" applyAlignment="1">
      <alignment wrapText="1"/>
    </xf>
    <xf numFmtId="0" fontId="47" fillId="2" borderId="20" xfId="0" applyFont="1" applyFill="1" applyBorder="1" applyAlignment="1">
      <alignment horizontal="left" vertical="center"/>
    </xf>
    <xf numFmtId="0" fontId="0" fillId="0" borderId="0" xfId="0" applyBorder="1"/>
    <xf numFmtId="0" fontId="41" fillId="0" borderId="0" xfId="3" applyFont="1" applyBorder="1"/>
    <xf numFmtId="0" fontId="44" fillId="0" borderId="0" xfId="3" applyFont="1" applyBorder="1"/>
    <xf numFmtId="0" fontId="1" fillId="0" borderId="0" xfId="0" applyFont="1" applyBorder="1"/>
    <xf numFmtId="0" fontId="47" fillId="2" borderId="0" xfId="0" applyFont="1" applyFill="1" applyBorder="1"/>
    <xf numFmtId="0" fontId="47" fillId="0" borderId="0" xfId="0" applyFont="1" applyBorder="1"/>
    <xf numFmtId="164" fontId="47" fillId="2" borderId="0" xfId="0" applyNumberFormat="1" applyFont="1" applyFill="1" applyBorder="1" applyAlignment="1">
      <alignment horizontal="center" vertical="center" wrapText="1"/>
    </xf>
    <xf numFmtId="0" fontId="47" fillId="2" borderId="0" xfId="0" applyFont="1" applyFill="1" applyBorder="1" applyAlignment="1">
      <alignment horizontal="left" vertical="center"/>
    </xf>
    <xf numFmtId="0" fontId="47" fillId="2" borderId="0" xfId="0" applyFont="1" applyFill="1" applyBorder="1" applyAlignment="1">
      <alignment vertical="center" wrapText="1"/>
    </xf>
    <xf numFmtId="0" fontId="47" fillId="2" borderId="0" xfId="0" applyFont="1" applyFill="1" applyBorder="1" applyAlignment="1">
      <alignment horizontal="left" vertical="center" wrapText="1"/>
    </xf>
    <xf numFmtId="0" fontId="43" fillId="0" borderId="0" xfId="0" applyFont="1" applyBorder="1"/>
    <xf numFmtId="0" fontId="43" fillId="2" borderId="0" xfId="0" applyFont="1" applyFill="1" applyBorder="1"/>
    <xf numFmtId="0" fontId="42" fillId="2" borderId="0" xfId="0" applyFont="1" applyFill="1" applyBorder="1"/>
    <xf numFmtId="2" fontId="0" fillId="0" borderId="0" xfId="0" applyNumberFormat="1" applyBorder="1"/>
    <xf numFmtId="164" fontId="42" fillId="0" borderId="0" xfId="0" applyNumberFormat="1" applyFont="1" applyBorder="1" applyAlignment="1">
      <alignment horizontal="left" indent="1"/>
    </xf>
    <xf numFmtId="168" fontId="0" fillId="0" borderId="0" xfId="0" applyNumberFormat="1" applyBorder="1"/>
    <xf numFmtId="0" fontId="42" fillId="2" borderId="0" xfId="0" applyFont="1" applyFill="1" applyBorder="1" applyAlignment="1">
      <alignment horizontal="left" indent="1"/>
    </xf>
    <xf numFmtId="164" fontId="43" fillId="2" borderId="0" xfId="5" applyNumberFormat="1" applyFont="1" applyFill="1" applyBorder="1" applyAlignment="1"/>
    <xf numFmtId="164" fontId="42" fillId="2" borderId="0" xfId="5" applyNumberFormat="1" applyFont="1" applyFill="1" applyBorder="1" applyAlignment="1"/>
    <xf numFmtId="165" fontId="42" fillId="2" borderId="0" xfId="5" applyNumberFormat="1" applyFont="1" applyFill="1" applyBorder="1" applyAlignment="1"/>
    <xf numFmtId="167" fontId="42" fillId="2" borderId="0" xfId="5" applyNumberFormat="1" applyFont="1" applyFill="1" applyBorder="1" applyAlignment="1"/>
    <xf numFmtId="164" fontId="0" fillId="2" borderId="0" xfId="0" applyNumberFormat="1" applyFill="1" applyBorder="1"/>
    <xf numFmtId="0" fontId="43" fillId="2" borderId="0" xfId="0" applyFont="1" applyFill="1" applyBorder="1" applyAlignment="1">
      <alignment horizontal="left"/>
    </xf>
    <xf numFmtId="0" fontId="0" fillId="0" borderId="0" xfId="0" applyBorder="1" applyAlignment="1">
      <alignment horizontal="left" indent="1"/>
    </xf>
    <xf numFmtId="164" fontId="43" fillId="0" borderId="0" xfId="5" applyNumberFormat="1" applyFont="1" applyFill="1" applyBorder="1" applyAlignment="1"/>
    <xf numFmtId="164" fontId="42" fillId="0" borderId="0" xfId="5" applyNumberFormat="1" applyFont="1" applyFill="1" applyBorder="1" applyAlignment="1"/>
    <xf numFmtId="165" fontId="42" fillId="0" borderId="0" xfId="5" applyNumberFormat="1" applyFont="1" applyFill="1" applyBorder="1" applyAlignment="1"/>
    <xf numFmtId="167" fontId="42" fillId="0" borderId="0" xfId="5" applyNumberFormat="1" applyFont="1" applyFill="1" applyBorder="1" applyAlignment="1"/>
    <xf numFmtId="164" fontId="0" fillId="0" borderId="0" xfId="0" applyNumberFormat="1" applyBorder="1"/>
    <xf numFmtId="0" fontId="0" fillId="2" borderId="0" xfId="0" applyFill="1" applyBorder="1" applyAlignment="1">
      <alignment horizontal="left" indent="1"/>
    </xf>
    <xf numFmtId="0" fontId="62" fillId="0" borderId="0" xfId="0" applyFont="1" applyBorder="1"/>
    <xf numFmtId="0" fontId="0" fillId="7" borderId="0" xfId="0" applyFill="1" applyBorder="1"/>
    <xf numFmtId="0" fontId="0" fillId="7" borderId="0" xfId="0" applyFill="1" applyBorder="1" applyAlignment="1">
      <alignment horizontal="left" indent="1"/>
    </xf>
    <xf numFmtId="164" fontId="43" fillId="7" borderId="0" xfId="5" applyNumberFormat="1" applyFont="1" applyFill="1" applyBorder="1" applyAlignment="1"/>
    <xf numFmtId="164" fontId="42" fillId="7" borderId="0" xfId="5" applyNumberFormat="1" applyFont="1" applyFill="1" applyBorder="1" applyAlignment="1"/>
    <xf numFmtId="165" fontId="42" fillId="7" borderId="0" xfId="5" applyNumberFormat="1" applyFont="1" applyFill="1" applyBorder="1" applyAlignment="1"/>
    <xf numFmtId="167" fontId="42" fillId="7" borderId="0" xfId="5" applyNumberFormat="1" applyFont="1" applyFill="1" applyBorder="1" applyAlignment="1"/>
    <xf numFmtId="164" fontId="0" fillId="7" borderId="0" xfId="0" applyNumberFormat="1" applyFill="1" applyBorder="1"/>
    <xf numFmtId="0" fontId="7" fillId="0" borderId="0" xfId="0" applyFont="1" applyBorder="1"/>
    <xf numFmtId="0" fontId="7" fillId="7" borderId="0" xfId="0" applyFont="1" applyFill="1" applyBorder="1"/>
    <xf numFmtId="2" fontId="0" fillId="7" borderId="0" xfId="0" applyNumberFormat="1" applyFill="1" applyBorder="1"/>
    <xf numFmtId="164" fontId="42" fillId="7" borderId="0" xfId="0" applyNumberFormat="1" applyFont="1" applyFill="1" applyBorder="1" applyAlignment="1">
      <alignment horizontal="left" indent="1"/>
    </xf>
    <xf numFmtId="168" fontId="0" fillId="7" borderId="0" xfId="0" applyNumberFormat="1" applyFill="1" applyBorder="1"/>
    <xf numFmtId="0" fontId="42" fillId="0" borderId="0" xfId="0" applyFont="1" applyBorder="1" applyAlignment="1">
      <alignment horizontal="left" indent="1"/>
    </xf>
    <xf numFmtId="0" fontId="43" fillId="0" borderId="0" xfId="0" applyFont="1" applyBorder="1" applyAlignment="1">
      <alignment horizontal="left" indent="1"/>
    </xf>
    <xf numFmtId="0" fontId="42" fillId="0" borderId="0" xfId="0" applyFont="1" applyBorder="1"/>
    <xf numFmtId="0" fontId="42" fillId="0" borderId="0" xfId="0" applyFont="1" applyBorder="1" applyAlignment="1">
      <alignment horizontal="left"/>
    </xf>
    <xf numFmtId="0" fontId="47" fillId="2" borderId="0"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0" fillId="5" borderId="2" xfId="0" applyFill="1" applyBorder="1" applyAlignment="1">
      <alignment horizontal="left" vertical="center" wrapText="1"/>
    </xf>
    <xf numFmtId="0" fontId="0" fillId="5" borderId="0" xfId="0" applyFill="1" applyBorder="1" applyAlignment="1">
      <alignment horizontal="left" vertical="center" wrapText="1"/>
    </xf>
    <xf numFmtId="0" fontId="0" fillId="5" borderId="1" xfId="0" applyFill="1" applyBorder="1" applyAlignment="1">
      <alignment horizontal="left" vertical="center" wrapText="1"/>
    </xf>
    <xf numFmtId="0" fontId="13" fillId="5" borderId="2"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0" xfId="0" applyFont="1" applyFill="1" applyBorder="1" applyAlignment="1">
      <alignment horizontal="left" vertical="center"/>
    </xf>
    <xf numFmtId="0" fontId="0" fillId="5" borderId="1" xfId="0" applyFont="1" applyFill="1" applyBorder="1" applyAlignment="1">
      <alignment horizontal="left" vertical="center"/>
    </xf>
    <xf numFmtId="0" fontId="0" fillId="5" borderId="0"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2" xfId="0" quotePrefix="1"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0" xfId="0" applyFill="1" applyBorder="1" applyAlignment="1">
      <alignment horizontal="center" vertical="center" wrapText="1"/>
    </xf>
    <xf numFmtId="0" fontId="0" fillId="5" borderId="1" xfId="0" applyFill="1" applyBorder="1" applyAlignment="1">
      <alignment horizontal="center" vertical="center" wrapText="1"/>
    </xf>
    <xf numFmtId="0" fontId="11" fillId="5" borderId="2"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5" borderId="2" xfId="0" applyFill="1" applyBorder="1" applyAlignment="1">
      <alignment horizontal="center" vertical="center"/>
    </xf>
    <xf numFmtId="0" fontId="0" fillId="5" borderId="0" xfId="0" applyFill="1" applyBorder="1" applyAlignment="1">
      <alignment horizontal="center" vertical="center"/>
    </xf>
    <xf numFmtId="0" fontId="0" fillId="5" borderId="1" xfId="0" applyFill="1" applyBorder="1" applyAlignment="1">
      <alignment horizontal="center" vertical="center"/>
    </xf>
    <xf numFmtId="0" fontId="0" fillId="5" borderId="2"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2"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2" borderId="0" xfId="0" applyFill="1" applyBorder="1" applyAlignment="1">
      <alignment horizontal="center" wrapText="1"/>
    </xf>
    <xf numFmtId="0" fontId="0" fillId="2" borderId="0" xfId="0" applyFill="1" applyBorder="1" applyAlignment="1">
      <alignment horizontal="center"/>
    </xf>
    <xf numFmtId="0" fontId="0" fillId="5" borderId="0" xfId="0" applyFont="1" applyFill="1" applyAlignment="1">
      <alignment horizontal="left" vertical="center" wrapText="1"/>
    </xf>
    <xf numFmtId="0" fontId="10" fillId="5" borderId="0" xfId="0" applyFont="1" applyFill="1" applyAlignment="1">
      <alignment horizontal="left" vertical="center" wrapText="1"/>
    </xf>
    <xf numFmtId="0" fontId="10" fillId="5" borderId="1" xfId="0" applyFont="1" applyFill="1" applyBorder="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vertical="center" wrapText="1"/>
    </xf>
    <xf numFmtId="0" fontId="0" fillId="5" borderId="0" xfId="0" applyFill="1" applyBorder="1" applyAlignment="1">
      <alignment vertical="center" wrapText="1"/>
    </xf>
    <xf numFmtId="0" fontId="0" fillId="5" borderId="1" xfId="0" applyFill="1" applyBorder="1" applyAlignment="1">
      <alignment vertical="center" wrapText="1"/>
    </xf>
    <xf numFmtId="164" fontId="0" fillId="5" borderId="2" xfId="0" applyNumberFormat="1" applyFill="1" applyBorder="1" applyAlignment="1">
      <alignment horizontal="center" vertical="center" wrapText="1"/>
    </xf>
    <xf numFmtId="164" fontId="0" fillId="5" borderId="0" xfId="0" applyNumberFormat="1" applyFill="1" applyBorder="1" applyAlignment="1">
      <alignment horizontal="center" vertical="center" wrapText="1"/>
    </xf>
    <xf numFmtId="0" fontId="3" fillId="5" borderId="2" xfId="1" applyFill="1" applyBorder="1" applyAlignment="1">
      <alignment horizontal="left" vertical="center" wrapText="1"/>
    </xf>
    <xf numFmtId="0" fontId="3" fillId="5" borderId="0" xfId="1" applyFill="1" applyBorder="1" applyAlignment="1">
      <alignment horizontal="left" vertical="center" wrapText="1"/>
    </xf>
    <xf numFmtId="0" fontId="3" fillId="5" borderId="1" xfId="1" applyFill="1" applyBorder="1" applyAlignment="1">
      <alignment horizontal="left" vertical="center" wrapText="1"/>
    </xf>
    <xf numFmtId="0" fontId="10" fillId="5" borderId="2" xfId="0" applyFont="1" applyFill="1" applyBorder="1" applyAlignment="1">
      <alignment horizontal="left" vertical="center" wrapText="1"/>
    </xf>
    <xf numFmtId="0" fontId="0" fillId="5" borderId="2" xfId="0" applyFill="1" applyBorder="1" applyAlignment="1">
      <alignment horizontal="left" wrapText="1"/>
    </xf>
    <xf numFmtId="0" fontId="0" fillId="5" borderId="0" xfId="0" applyFill="1" applyBorder="1" applyAlignment="1">
      <alignment horizontal="left" wrapText="1"/>
    </xf>
    <xf numFmtId="0" fontId="0" fillId="5" borderId="1" xfId="0" applyFill="1" applyBorder="1" applyAlignment="1">
      <alignment horizontal="left" wrapText="1"/>
    </xf>
    <xf numFmtId="164" fontId="0" fillId="5" borderId="1" xfId="0" applyNumberFormat="1" applyFill="1" applyBorder="1" applyAlignment="1">
      <alignment horizontal="center" vertical="center" wrapText="1"/>
    </xf>
    <xf numFmtId="0" fontId="0" fillId="5" borderId="2" xfId="0" applyFont="1" applyFill="1" applyBorder="1" applyAlignment="1">
      <alignment vertical="center" wrapText="1"/>
    </xf>
    <xf numFmtId="0" fontId="1" fillId="3" borderId="2" xfId="0" applyFont="1" applyFill="1" applyBorder="1" applyAlignment="1">
      <alignment horizontal="center"/>
    </xf>
    <xf numFmtId="0" fontId="3" fillId="2" borderId="2" xfId="1" applyFill="1" applyBorder="1" applyAlignment="1">
      <alignment horizontal="left" vertical="center" wrapText="1"/>
    </xf>
    <xf numFmtId="0" fontId="3" fillId="2" borderId="0" xfId="1" applyFill="1" applyBorder="1" applyAlignment="1">
      <alignment horizontal="left" vertical="center" wrapText="1"/>
    </xf>
    <xf numFmtId="0" fontId="3" fillId="2" borderId="1" xfId="1" applyFill="1" applyBorder="1" applyAlignment="1">
      <alignment horizontal="left" vertical="center" wrapText="1"/>
    </xf>
    <xf numFmtId="0" fontId="13" fillId="5" borderId="0" xfId="0" applyFont="1" applyFill="1" applyAlignment="1">
      <alignment horizontal="left" vertical="center" wrapText="1"/>
    </xf>
    <xf numFmtId="0" fontId="3" fillId="5" borderId="0" xfId="1" applyFill="1" applyBorder="1" applyAlignment="1">
      <alignment horizontal="left" vertical="center"/>
    </xf>
    <xf numFmtId="0" fontId="3" fillId="5" borderId="1" xfId="1" applyFill="1" applyBorder="1" applyAlignment="1">
      <alignment horizontal="left" vertical="center"/>
    </xf>
    <xf numFmtId="0" fontId="7" fillId="5" borderId="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0" fillId="5" borderId="0" xfId="0" applyFont="1" applyFill="1" applyBorder="1" applyAlignment="1">
      <alignment vertical="center" wrapText="1"/>
    </xf>
    <xf numFmtId="0" fontId="0" fillId="5" borderId="1" xfId="0" applyFont="1" applyFill="1" applyBorder="1" applyAlignment="1">
      <alignment vertical="center" wrapText="1"/>
    </xf>
    <xf numFmtId="0" fontId="7" fillId="5" borderId="2"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0" fontId="0" fillId="5" borderId="2" xfId="0" applyFill="1" applyBorder="1" applyAlignment="1">
      <alignment horizontal="center" vertical="center" textRotation="90"/>
    </xf>
    <xf numFmtId="0" fontId="0" fillId="5" borderId="0" xfId="0" applyFill="1" applyBorder="1" applyAlignment="1">
      <alignment horizontal="center" vertical="center" textRotation="90"/>
    </xf>
    <xf numFmtId="0" fontId="0" fillId="5" borderId="1" xfId="0" applyFill="1" applyBorder="1" applyAlignment="1">
      <alignment horizontal="center" vertical="center" textRotation="90"/>
    </xf>
    <xf numFmtId="0" fontId="0" fillId="3" borderId="2" xfId="0" applyFill="1" applyBorder="1" applyAlignment="1">
      <alignment horizontal="center" vertical="center" textRotation="90"/>
    </xf>
    <xf numFmtId="0" fontId="0" fillId="3" borderId="0" xfId="0" applyFill="1" applyBorder="1" applyAlignment="1">
      <alignment horizontal="center" vertical="center" textRotation="90"/>
    </xf>
    <xf numFmtId="0" fontId="0" fillId="3" borderId="1" xfId="0" applyFill="1" applyBorder="1" applyAlignment="1">
      <alignment horizontal="center" vertical="center" textRotation="90"/>
    </xf>
    <xf numFmtId="0" fontId="14" fillId="5" borderId="2" xfId="0" applyFont="1" applyFill="1" applyBorder="1" applyAlignment="1">
      <alignment horizontal="left" vertical="center" wrapText="1"/>
    </xf>
    <xf numFmtId="0" fontId="0" fillId="5" borderId="2" xfId="0" applyFont="1" applyFill="1" applyBorder="1" applyAlignment="1">
      <alignment horizontal="center" vertical="center" textRotation="90"/>
    </xf>
    <xf numFmtId="0" fontId="0" fillId="5" borderId="0" xfId="0" applyFont="1" applyFill="1" applyBorder="1" applyAlignment="1">
      <alignment horizontal="center" vertical="center" textRotation="90"/>
    </xf>
    <xf numFmtId="0" fontId="0" fillId="5" borderId="1" xfId="0" applyFont="1" applyFill="1" applyBorder="1" applyAlignment="1">
      <alignment horizontal="center" vertical="center" textRotation="90"/>
    </xf>
    <xf numFmtId="1" fontId="67" fillId="5" borderId="2" xfId="0" applyNumberFormat="1" applyFont="1" applyFill="1" applyBorder="1" applyAlignment="1">
      <alignment horizontal="left" vertical="center" wrapText="1"/>
    </xf>
    <xf numFmtId="1" fontId="13" fillId="5" borderId="0" xfId="0" applyNumberFormat="1" applyFont="1" applyFill="1" applyAlignment="1">
      <alignment horizontal="left" vertical="center" wrapText="1"/>
    </xf>
    <xf numFmtId="1" fontId="13" fillId="5" borderId="1" xfId="0" applyNumberFormat="1" applyFont="1" applyFill="1" applyBorder="1" applyAlignment="1">
      <alignment horizontal="left" vertical="center" wrapText="1"/>
    </xf>
    <xf numFmtId="0" fontId="0" fillId="5" borderId="0" xfId="0" applyFont="1" applyFill="1" applyAlignment="1">
      <alignment vertical="center" wrapText="1"/>
    </xf>
    <xf numFmtId="0" fontId="0" fillId="5" borderId="0" xfId="0" applyFont="1" applyFill="1" applyAlignment="1">
      <alignment horizontal="center" vertical="center" textRotation="90"/>
    </xf>
    <xf numFmtId="0" fontId="0" fillId="2" borderId="0" xfId="0" applyFill="1" applyAlignment="1">
      <alignment horizontal="left" vertical="center" wrapText="1"/>
    </xf>
    <xf numFmtId="0" fontId="0" fillId="2" borderId="0" xfId="0" applyFill="1" applyBorder="1" applyAlignment="1">
      <alignment horizontal="center" vertical="center"/>
    </xf>
    <xf numFmtId="0" fontId="0" fillId="2" borderId="0" xfId="0" applyFill="1" applyAlignment="1">
      <alignment horizontal="center" vertical="center"/>
    </xf>
    <xf numFmtId="0" fontId="1" fillId="5" borderId="2" xfId="0" applyFont="1" applyFill="1" applyBorder="1" applyAlignment="1">
      <alignment horizontal="left" vertical="center" wrapText="1"/>
    </xf>
    <xf numFmtId="0" fontId="13" fillId="2" borderId="0" xfId="0" applyFont="1" applyFill="1" applyBorder="1" applyAlignment="1">
      <alignment horizontal="center" vertical="center"/>
    </xf>
    <xf numFmtId="0" fontId="0" fillId="2" borderId="2" xfId="0" applyFill="1" applyBorder="1" applyAlignment="1">
      <alignment horizontal="center" vertical="center"/>
    </xf>
    <xf numFmtId="0" fontId="0" fillId="3" borderId="0" xfId="0" applyFill="1" applyAlignment="1">
      <alignment horizontal="center" vertical="center" textRotation="90"/>
    </xf>
    <xf numFmtId="0" fontId="13" fillId="5" borderId="2" xfId="0" applyFont="1" applyFill="1" applyBorder="1" applyAlignment="1">
      <alignment horizontal="center" vertical="center" textRotation="90"/>
    </xf>
    <xf numFmtId="0" fontId="13" fillId="5" borderId="0" xfId="0" applyFont="1" applyFill="1" applyBorder="1" applyAlignment="1">
      <alignment horizontal="center" vertical="center" textRotation="90"/>
    </xf>
    <xf numFmtId="0" fontId="13" fillId="5" borderId="1" xfId="0" applyFont="1" applyFill="1" applyBorder="1" applyAlignment="1">
      <alignment horizontal="center" vertical="center" textRotation="90"/>
    </xf>
    <xf numFmtId="0" fontId="0" fillId="5" borderId="0" xfId="0" applyFill="1" applyAlignment="1">
      <alignment horizontal="center" vertical="center" textRotation="90"/>
    </xf>
    <xf numFmtId="0" fontId="13" fillId="5" borderId="2" xfId="0" applyFont="1" applyFill="1" applyBorder="1" applyAlignment="1">
      <alignment vertical="center" wrapText="1"/>
    </xf>
    <xf numFmtId="0" fontId="13" fillId="5" borderId="0" xfId="0" applyFont="1" applyFill="1" applyAlignment="1">
      <alignment vertical="center" wrapText="1"/>
    </xf>
    <xf numFmtId="0" fontId="13" fillId="5" borderId="1" xfId="0" applyFont="1" applyFill="1" applyBorder="1" applyAlignment="1">
      <alignment vertical="center" wrapText="1"/>
    </xf>
    <xf numFmtId="0" fontId="0" fillId="3" borderId="2" xfId="0" applyFont="1" applyFill="1" applyBorder="1" applyAlignment="1">
      <alignment horizontal="center" vertical="center" textRotation="90"/>
    </xf>
    <xf numFmtId="0" fontId="0" fillId="3" borderId="0" xfId="0" applyFont="1" applyFill="1" applyBorder="1" applyAlignment="1">
      <alignment horizontal="center" vertical="center" textRotation="90"/>
    </xf>
    <xf numFmtId="0" fontId="0" fillId="3" borderId="1" xfId="0" applyFont="1" applyFill="1" applyBorder="1" applyAlignment="1">
      <alignment horizontal="center" vertical="center" textRotation="90"/>
    </xf>
    <xf numFmtId="0" fontId="7"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1" xfId="0" applyFont="1" applyFill="1" applyBorder="1" applyAlignment="1">
      <alignment horizontal="left" vertical="center" wrapText="1"/>
    </xf>
    <xf numFmtId="0" fontId="0" fillId="5" borderId="0" xfId="0" applyFill="1" applyAlignment="1">
      <alignment vertical="center" wrapText="1"/>
    </xf>
    <xf numFmtId="0" fontId="0" fillId="5" borderId="2" xfId="0" quotePrefix="1" applyFont="1" applyFill="1" applyBorder="1" applyAlignment="1">
      <alignment vertical="center" wrapText="1"/>
    </xf>
    <xf numFmtId="0" fontId="13" fillId="5" borderId="2" xfId="0" quotePrefix="1"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3" fillId="5" borderId="2" xfId="1" applyFont="1" applyFill="1" applyBorder="1" applyAlignment="1">
      <alignment horizontal="left" vertical="center" wrapText="1"/>
    </xf>
    <xf numFmtId="0" fontId="51" fillId="5" borderId="0" xfId="1" applyFont="1" applyFill="1" applyAlignment="1">
      <alignment horizontal="left" vertical="center" wrapText="1"/>
    </xf>
    <xf numFmtId="0" fontId="51" fillId="5" borderId="1" xfId="1" applyFont="1" applyFill="1" applyBorder="1" applyAlignment="1">
      <alignment horizontal="left" vertical="center" wrapText="1"/>
    </xf>
    <xf numFmtId="0" fontId="0" fillId="5" borderId="2" xfId="0" applyFill="1" applyBorder="1" applyAlignment="1">
      <alignment horizontal="left" vertical="top" wrapText="1"/>
    </xf>
    <xf numFmtId="0" fontId="0" fillId="5" borderId="0" xfId="0" applyFill="1" applyBorder="1" applyAlignment="1">
      <alignment horizontal="left" vertical="top" wrapText="1"/>
    </xf>
    <xf numFmtId="0" fontId="0" fillId="5" borderId="1" xfId="0" applyFill="1" applyBorder="1" applyAlignment="1">
      <alignment horizontal="left" vertical="top" wrapText="1"/>
    </xf>
    <xf numFmtId="0" fontId="13" fillId="3" borderId="0" xfId="0" applyFont="1" applyFill="1" applyBorder="1" applyAlignment="1">
      <alignment horizontal="center" vertical="center" textRotation="90"/>
    </xf>
    <xf numFmtId="0" fontId="13" fillId="3" borderId="1" xfId="0" applyFont="1" applyFill="1" applyBorder="1" applyAlignment="1">
      <alignment horizontal="center" vertical="center" textRotation="90"/>
    </xf>
    <xf numFmtId="0" fontId="13" fillId="5" borderId="0" xfId="0" applyFont="1" applyFill="1" applyAlignment="1">
      <alignment horizontal="center" vertical="center" wrapText="1"/>
    </xf>
    <xf numFmtId="0" fontId="13" fillId="3" borderId="0" xfId="0" applyFont="1" applyFill="1" applyAlignment="1">
      <alignment horizontal="center" vertical="center" textRotation="90"/>
    </xf>
    <xf numFmtId="0" fontId="1" fillId="5" borderId="2" xfId="0" applyFont="1" applyFill="1" applyBorder="1" applyAlignment="1">
      <alignment vertical="center" wrapText="1"/>
    </xf>
    <xf numFmtId="0" fontId="13" fillId="3" borderId="2" xfId="0" applyFont="1" applyFill="1" applyBorder="1" applyAlignment="1">
      <alignment horizontal="center" vertical="center" textRotation="90"/>
    </xf>
    <xf numFmtId="0" fontId="13" fillId="5" borderId="0" xfId="0" applyFont="1" applyFill="1" applyBorder="1" applyAlignment="1">
      <alignment vertical="center" wrapText="1"/>
    </xf>
    <xf numFmtId="0" fontId="0" fillId="5" borderId="2" xfId="0" quotePrefix="1" applyFill="1" applyBorder="1" applyAlignment="1">
      <alignment horizontal="left" vertical="center" wrapText="1"/>
    </xf>
    <xf numFmtId="0" fontId="0" fillId="5" borderId="0" xfId="0" applyFill="1" applyAlignment="1">
      <alignment horizontal="left" vertical="center"/>
    </xf>
    <xf numFmtId="0" fontId="0" fillId="5" borderId="1" xfId="0" applyFill="1" applyBorder="1" applyAlignment="1">
      <alignment horizontal="left" vertical="center"/>
    </xf>
    <xf numFmtId="0" fontId="11" fillId="5" borderId="0" xfId="0" applyFont="1" applyFill="1" applyAlignment="1">
      <alignment horizontal="left" vertical="center" wrapText="1"/>
    </xf>
    <xf numFmtId="0" fontId="14" fillId="5" borderId="0" xfId="0" applyFont="1" applyFill="1" applyBorder="1" applyAlignment="1">
      <alignment horizontal="left" vertical="center" wrapText="1"/>
    </xf>
    <xf numFmtId="0" fontId="1" fillId="5" borderId="0" xfId="0" applyFont="1" applyFill="1" applyAlignment="1">
      <alignment horizontal="left" vertical="center" wrapText="1"/>
    </xf>
    <xf numFmtId="0" fontId="14" fillId="5" borderId="2" xfId="0" applyFont="1" applyFill="1" applyBorder="1" applyAlignment="1">
      <alignment vertical="center" wrapText="1"/>
    </xf>
    <xf numFmtId="0" fontId="0" fillId="2" borderId="0" xfId="0" applyFill="1" applyAlignment="1">
      <alignment horizontal="center" wrapText="1"/>
    </xf>
    <xf numFmtId="0" fontId="0" fillId="2" borderId="0" xfId="0" applyFill="1" applyAlignment="1">
      <alignment horizontal="center"/>
    </xf>
    <xf numFmtId="0" fontId="13" fillId="5" borderId="0" xfId="0" applyFont="1" applyFill="1" applyAlignment="1">
      <alignment horizontal="center" vertical="center" textRotation="90"/>
    </xf>
    <xf numFmtId="0" fontId="7" fillId="5" borderId="0" xfId="0" applyFont="1" applyFill="1" applyAlignment="1">
      <alignment horizontal="left" vertical="center"/>
    </xf>
    <xf numFmtId="0" fontId="7" fillId="5" borderId="1" xfId="0" applyFont="1" applyFill="1" applyBorder="1" applyAlignment="1">
      <alignment horizontal="left" vertical="center"/>
    </xf>
    <xf numFmtId="0" fontId="49" fillId="5" borderId="2" xfId="1" applyFont="1" applyFill="1" applyBorder="1" applyAlignment="1">
      <alignment horizontal="left" vertical="center" wrapText="1"/>
    </xf>
    <xf numFmtId="0" fontId="1" fillId="5" borderId="0" xfId="0" applyFont="1" applyFill="1" applyBorder="1" applyAlignment="1">
      <alignment horizontal="left" vertical="center" wrapText="1"/>
    </xf>
    <xf numFmtId="0" fontId="1" fillId="5" borderId="1" xfId="0" applyFont="1" applyFill="1" applyBorder="1" applyAlignment="1">
      <alignment horizontal="left" vertical="center" wrapText="1"/>
    </xf>
    <xf numFmtId="1" fontId="11" fillId="5" borderId="2" xfId="0" applyNumberFormat="1" applyFont="1" applyFill="1" applyBorder="1" applyAlignment="1">
      <alignment horizontal="left" vertical="center" wrapText="1"/>
    </xf>
    <xf numFmtId="1" fontId="0" fillId="5" borderId="0" xfId="0" applyNumberFormat="1" applyFill="1" applyBorder="1" applyAlignment="1">
      <alignment horizontal="left" vertical="center" wrapText="1"/>
    </xf>
    <xf numFmtId="1" fontId="0" fillId="5" borderId="1" xfId="0" applyNumberFormat="1" applyFill="1" applyBorder="1" applyAlignment="1">
      <alignment horizontal="left" vertical="center" wrapText="1"/>
    </xf>
    <xf numFmtId="1" fontId="0" fillId="5" borderId="2" xfId="0" applyNumberForma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center" wrapText="1"/>
    </xf>
    <xf numFmtId="0" fontId="45" fillId="2" borderId="20" xfId="3" applyFont="1" applyFill="1" applyBorder="1" applyAlignment="1">
      <alignment horizontal="center"/>
    </xf>
    <xf numFmtId="0" fontId="46" fillId="2" borderId="20" xfId="3" applyFont="1" applyFill="1" applyBorder="1" applyAlignment="1">
      <alignment horizontal="center"/>
    </xf>
    <xf numFmtId="0" fontId="45" fillId="2" borderId="0" xfId="3" applyFont="1" applyFill="1" applyBorder="1" applyAlignment="1">
      <alignment horizontal="center"/>
    </xf>
    <xf numFmtId="0" fontId="46" fillId="2" borderId="0" xfId="3" applyFont="1" applyFill="1" applyBorder="1" applyAlignment="1">
      <alignment horizontal="center"/>
    </xf>
    <xf numFmtId="0" fontId="48" fillId="2" borderId="1" xfId="0" applyFont="1" applyFill="1" applyBorder="1" applyAlignment="1">
      <alignment horizontal="center"/>
    </xf>
    <xf numFmtId="0" fontId="48" fillId="2" borderId="20" xfId="0" applyFont="1" applyFill="1" applyBorder="1" applyAlignment="1">
      <alignment horizontal="center" wrapText="1"/>
    </xf>
    <xf numFmtId="0" fontId="48" fillId="2" borderId="0" xfId="0" applyFont="1" applyFill="1" applyBorder="1" applyAlignment="1">
      <alignment horizontal="center"/>
    </xf>
    <xf numFmtId="0" fontId="48" fillId="2" borderId="0" xfId="0" applyFont="1" applyFill="1" applyBorder="1" applyAlignment="1">
      <alignment horizontal="center" wrapText="1"/>
    </xf>
    <xf numFmtId="0" fontId="47" fillId="2" borderId="2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2" borderId="0" xfId="0" applyFont="1" applyFill="1" applyAlignment="1">
      <alignment horizontal="center" wrapText="1"/>
    </xf>
    <xf numFmtId="0" fontId="47" fillId="2" borderId="1" xfId="0" applyFont="1" applyFill="1" applyBorder="1" applyAlignment="1">
      <alignment horizontal="center" wrapText="1"/>
    </xf>
    <xf numFmtId="0" fontId="47" fillId="2" borderId="0" xfId="0" applyFont="1" applyFill="1" applyBorder="1" applyAlignment="1">
      <alignment horizontal="center" wrapText="1"/>
    </xf>
    <xf numFmtId="0" fontId="47" fillId="2" borderId="0" xfId="0" applyFont="1" applyFill="1" applyBorder="1" applyAlignment="1">
      <alignment horizontal="center" vertical="center" wrapText="1"/>
    </xf>
    <xf numFmtId="0" fontId="64" fillId="5" borderId="2" xfId="0" applyFont="1" applyFill="1" applyBorder="1" applyAlignment="1">
      <alignment horizontal="left" vertical="center" wrapText="1"/>
    </xf>
    <xf numFmtId="0" fontId="48" fillId="2" borderId="3" xfId="0" applyFont="1" applyFill="1" applyBorder="1" applyAlignment="1">
      <alignment horizontal="center" wrapText="1"/>
    </xf>
    <xf numFmtId="0" fontId="47" fillId="2" borderId="2" xfId="0" applyFont="1" applyFill="1" applyBorder="1" applyAlignment="1">
      <alignment horizontal="center" vertical="center" wrapText="1"/>
    </xf>
    <xf numFmtId="0" fontId="45" fillId="2" borderId="3" xfId="3" applyFont="1" applyFill="1" applyBorder="1" applyAlignment="1">
      <alignment horizontal="center"/>
    </xf>
    <xf numFmtId="0" fontId="46" fillId="2" borderId="3" xfId="3" applyFont="1" applyFill="1" applyBorder="1" applyAlignment="1">
      <alignment horizontal="center"/>
    </xf>
    <xf numFmtId="0" fontId="54" fillId="3" borderId="2" xfId="4" applyFont="1" applyFill="1" applyBorder="1" applyAlignment="1">
      <alignment horizontal="center"/>
    </xf>
    <xf numFmtId="0" fontId="56" fillId="17" borderId="0" xfId="4" applyFont="1" applyFill="1" applyAlignment="1">
      <alignment horizontal="left" vertical="top" wrapText="1"/>
    </xf>
    <xf numFmtId="0" fontId="56" fillId="17" borderId="13" xfId="4" applyFont="1" applyFill="1" applyBorder="1" applyAlignment="1">
      <alignment horizontal="left" vertical="top" wrapText="1"/>
    </xf>
    <xf numFmtId="0" fontId="6" fillId="2" borderId="13" xfId="4" applyFill="1" applyBorder="1" applyAlignment="1">
      <alignment horizontal="center" vertical="center"/>
    </xf>
    <xf numFmtId="0" fontId="6" fillId="2" borderId="0" xfId="4" applyFill="1" applyAlignment="1">
      <alignment horizontal="center" vertical="center"/>
    </xf>
    <xf numFmtId="0" fontId="6" fillId="2" borderId="14" xfId="4" applyFill="1" applyBorder="1" applyAlignment="1">
      <alignment horizontal="center" vertical="center"/>
    </xf>
    <xf numFmtId="0" fontId="56" fillId="17" borderId="14" xfId="4" applyFont="1" applyFill="1" applyBorder="1" applyAlignment="1">
      <alignment horizontal="left" vertical="top" wrapText="1"/>
    </xf>
    <xf numFmtId="0" fontId="45" fillId="0" borderId="3" xfId="3" applyFont="1" applyBorder="1" applyAlignment="1">
      <alignment horizontal="center"/>
    </xf>
    <xf numFmtId="0" fontId="46" fillId="0" borderId="3" xfId="3" applyFont="1" applyBorder="1" applyAlignment="1">
      <alignment horizontal="center"/>
    </xf>
    <xf numFmtId="0" fontId="48" fillId="0" borderId="1" xfId="0" applyFont="1" applyFill="1" applyBorder="1" applyAlignment="1">
      <alignment horizontal="center"/>
    </xf>
    <xf numFmtId="0" fontId="48" fillId="0" borderId="3" xfId="0" applyFont="1" applyBorder="1" applyAlignment="1">
      <alignment horizontal="center" wrapText="1"/>
    </xf>
    <xf numFmtId="0" fontId="47" fillId="0" borderId="0" xfId="0" applyFont="1" applyBorder="1" applyAlignment="1">
      <alignment horizontal="center" wrapText="1"/>
    </xf>
    <xf numFmtId="0" fontId="47" fillId="0" borderId="1" xfId="0" applyFont="1" applyBorder="1" applyAlignment="1">
      <alignment horizontal="center" wrapText="1"/>
    </xf>
    <xf numFmtId="0" fontId="48" fillId="0" borderId="3" xfId="0" applyFont="1" applyFill="1" applyBorder="1" applyAlignment="1">
      <alignment horizontal="center" wrapText="1"/>
    </xf>
    <xf numFmtId="0" fontId="0" fillId="11" borderId="5" xfId="0" applyFill="1" applyBorder="1" applyAlignment="1">
      <alignment horizontal="center" vertical="center" wrapText="1"/>
    </xf>
    <xf numFmtId="0" fontId="0" fillId="11" borderId="9"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9"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10" xfId="0" applyFill="1" applyBorder="1" applyAlignment="1">
      <alignment horizontal="center" vertical="center" wrapText="1"/>
    </xf>
    <xf numFmtId="0" fontId="0" fillId="11" borderId="7" xfId="0" applyFill="1" applyBorder="1" applyAlignment="1">
      <alignment horizontal="center" wrapText="1"/>
    </xf>
    <xf numFmtId="0" fontId="0" fillId="11" borderId="3" xfId="0" applyFill="1" applyBorder="1" applyAlignment="1">
      <alignment horizontal="center" wrapText="1"/>
    </xf>
    <xf numFmtId="0" fontId="0" fillId="11" borderId="8" xfId="0" applyFill="1" applyBorder="1" applyAlignment="1">
      <alignment horizontal="center" wrapText="1"/>
    </xf>
    <xf numFmtId="0" fontId="0" fillId="2" borderId="0" xfId="0" applyFill="1" applyAlignment="1">
      <alignment horizontal="left" wrapText="1" indent="1"/>
    </xf>
    <xf numFmtId="164" fontId="0" fillId="5" borderId="2" xfId="0" applyNumberFormat="1" applyFont="1" applyFill="1" applyBorder="1" applyAlignment="1">
      <alignment horizontal="center" vertical="center" wrapText="1"/>
    </xf>
    <xf numFmtId="164" fontId="0" fillId="5" borderId="0" xfId="0" applyNumberFormat="1" applyFont="1" applyFill="1" applyBorder="1" applyAlignment="1">
      <alignment horizontal="center" vertical="center" wrapText="1"/>
    </xf>
    <xf numFmtId="164" fontId="0" fillId="5" borderId="1" xfId="0" applyNumberFormat="1" applyFont="1" applyFill="1" applyBorder="1" applyAlignment="1">
      <alignment horizontal="center" vertical="center" wrapText="1"/>
    </xf>
    <xf numFmtId="0" fontId="11" fillId="5" borderId="2" xfId="0" quotePrefix="1" applyFont="1" applyFill="1" applyBorder="1" applyAlignment="1">
      <alignment horizontal="left" vertical="center" wrapText="1"/>
    </xf>
    <xf numFmtId="1" fontId="80" fillId="2" borderId="0" xfId="0" applyNumberFormat="1" applyFont="1" applyFill="1"/>
    <xf numFmtId="165" fontId="80" fillId="2" borderId="0" xfId="0" applyNumberFormat="1" applyFont="1" applyFill="1"/>
    <xf numFmtId="164" fontId="80" fillId="2" borderId="0" xfId="0" applyNumberFormat="1" applyFont="1" applyFill="1"/>
  </cellXfs>
  <cellStyles count="45">
    <cellStyle name=" 1" xfId="15" xr:uid="{852422CD-7F1A-452B-BA2F-FBD72279580F}"/>
    <cellStyle name=" Verticals" xfId="16" xr:uid="{5029D681-11AC-4DE5-B24E-AE3E028BBC97}"/>
    <cellStyle name="Comma" xfId="5" builtinId="3"/>
    <cellStyle name="Comma 2" xfId="11" xr:uid="{32B3EA6D-C9AE-4583-9F03-E60196D28E24}"/>
    <cellStyle name="Comma 2 2" xfId="40" xr:uid="{EBE216D8-73B5-43D8-8DDC-468A0DF94C81}"/>
    <cellStyle name="Comma 3" xfId="7" xr:uid="{11BED4ED-4A4B-4B30-A841-400D2A1AEBE8}"/>
    <cellStyle name="Comma 87" xfId="17" xr:uid="{C87527C9-0A7A-4C3A-B101-02FECCD99C61}"/>
    <cellStyle name="Comma 87 2" xfId="41" xr:uid="{4C302F15-B046-466F-808B-213F3C62AB80}"/>
    <cellStyle name="Hyperlink" xfId="1" builtinId="8"/>
    <cellStyle name="Hyperlink 2" xfId="10" xr:uid="{3E6FFBC5-B67A-41BF-AA9D-817DC627F165}"/>
    <cellStyle name="Hyperlink 4" xfId="18" xr:uid="{3B2CE757-0934-40CA-A649-CF8C2162C8C3}"/>
    <cellStyle name="Îáû÷íûé_23_1 " xfId="19" xr:uid="{2E6F754F-5BC1-48B3-8350-A855A584876F}"/>
    <cellStyle name="Milliers 3" xfId="36" xr:uid="{B46C18AB-B5A8-4F7D-91C4-BB496F674DCD}"/>
    <cellStyle name="N " xfId="20" xr:uid="{DE858F9F-67B9-4432-ADF0-0DE20D843842}"/>
    <cellStyle name="Normal" xfId="0" builtinId="0"/>
    <cellStyle name="Normal 10" xfId="34" xr:uid="{A50448EE-424D-4146-96BE-C4CCBC0DCAC6}"/>
    <cellStyle name="Normal 10 4" xfId="21" xr:uid="{021CB990-6DA7-404A-A5CA-EC12B9638559}"/>
    <cellStyle name="Normal 1085" xfId="22" xr:uid="{1E3623AA-6FA0-4224-B62B-DA4E840418C6}"/>
    <cellStyle name="Normal 1085 2" xfId="42" xr:uid="{6D4F8093-FE1A-46F7-AE3B-EE00EE6BAD41}"/>
    <cellStyle name="Normal 1086" xfId="23" xr:uid="{EDBD4520-B14D-4EEA-8A40-0360D208E6A4}"/>
    <cellStyle name="Normal 1086 2" xfId="43" xr:uid="{1E90A00B-ED97-4A24-8654-EAB78AFD0DE6}"/>
    <cellStyle name="Normal 2" xfId="3" xr:uid="{FC4444F1-840A-4C07-849C-06065498BFF6}"/>
    <cellStyle name="Normal 2 2 2 10" xfId="24" xr:uid="{CC7E08A8-92A5-4E3C-820B-A842DDC84475}"/>
    <cellStyle name="Normal 2 3 3" xfId="25" xr:uid="{7645372A-1C10-4307-8512-DC9321B56819}"/>
    <cellStyle name="Normal 2_Summary.Global" xfId="32" xr:uid="{0A100EDF-DEF7-4158-8E62-5D6F20DCD778}"/>
    <cellStyle name="Normal 3" xfId="2" xr:uid="{EE2C9F8D-7B90-4A17-A0BC-2DEA4A4C58A8}"/>
    <cellStyle name="Normal 35" xfId="26" xr:uid="{96CE0A53-DD99-44D3-BFE0-1469D92AA9A5}"/>
    <cellStyle name="Normal 4" xfId="4" xr:uid="{A65936BE-3F02-4D3E-BC06-527BE74CA692}"/>
    <cellStyle name="Normal 4 3 2 2" xfId="27" xr:uid="{D08885E8-1349-47DD-B557-AE495E18D787}"/>
    <cellStyle name="Normal 4_ENDA" xfId="33" xr:uid="{351E7392-5EE8-428E-A17D-5D7176023FDD}"/>
    <cellStyle name="Normal 47" xfId="28" xr:uid="{50503EDD-FF5C-49B3-93CB-2347F4C1A9F2}"/>
    <cellStyle name="Normal 48 8" xfId="29" xr:uid="{D7EF92B1-37B1-4D90-85D6-C5C49A8FFBA0}"/>
    <cellStyle name="Normal 5" xfId="8" xr:uid="{49024511-E0B6-4C6A-8A0C-97FA59C3AAD0}"/>
    <cellStyle name="Normal 5 2" xfId="38" xr:uid="{636A3D59-673F-4B4F-8E90-01A41964314C}"/>
    <cellStyle name="Normal 5 6" xfId="30" xr:uid="{BF2E46B7-D488-420F-9528-0BDB634EC703}"/>
    <cellStyle name="Normal 5_ENDA" xfId="35" xr:uid="{B1501F88-37FF-4F6F-B281-5437306B852E}"/>
    <cellStyle name="Normal 6" xfId="9" xr:uid="{BF50077B-2E5B-4CDA-8EE0-4507D10FA881}"/>
    <cellStyle name="Normal 6 2" xfId="39" xr:uid="{D46B4FB1-FE9A-4EF4-A490-48A69E8626DC}"/>
    <cellStyle name="Normal 6_Table_Aggregate_Wavg" xfId="44" xr:uid="{CB18FF58-FB3C-41B8-B437-5CE0617F60ED}"/>
    <cellStyle name="Normal 7" xfId="6" xr:uid="{5FD5C82E-34D8-4B74-8F80-4088C58AAB87}"/>
    <cellStyle name="Normal 8" xfId="37" xr:uid="{17FCD77D-F15A-4B51-8C81-064029FBE676}"/>
    <cellStyle name="Normal 9" xfId="14" xr:uid="{A3C13113-2DFD-4FFF-94F2-1910DFB95B09}"/>
    <cellStyle name="Normální 2" xfId="12" xr:uid="{3AF40A2D-0AD3-48B0-875B-03475B32817A}"/>
    <cellStyle name="Normální 2 2" xfId="13" xr:uid="{D553826B-210B-4DC6-A18F-4BB899CA242A}"/>
    <cellStyle name="Ввод " xfId="31" xr:uid="{F4960D2C-BD93-4694-9D05-6D9D07CFD1FF}"/>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66851646705557E-2"/>
          <c:y val="2.7064122549821365E-2"/>
          <c:w val="0.91984230096237973"/>
          <c:h val="0.85929899387576558"/>
        </c:manualLayout>
      </c:layout>
      <c:barChart>
        <c:barDir val="col"/>
        <c:grouping val="clustered"/>
        <c:varyColors val="0"/>
        <c:ser>
          <c:idx val="0"/>
          <c:order val="0"/>
          <c:tx>
            <c:strRef>
              <c:f>Figure!$D$8</c:f>
              <c:strCache>
                <c:ptCount val="1"/>
                <c:pt idx="0">
                  <c:v>Additional spending and forgone revenue</c:v>
                </c:pt>
              </c:strCache>
            </c:strRef>
          </c:tx>
          <c:spPr>
            <a:solidFill>
              <a:schemeClr val="accent1"/>
            </a:solidFill>
            <a:ln>
              <a:noFill/>
            </a:ln>
            <a:effectLst/>
          </c:spPr>
          <c:invertIfNegative val="0"/>
          <c:cat>
            <c:strRef>
              <c:f>Figure!$B$9:$B$30</c:f>
              <c:strCache>
                <c:ptCount val="22"/>
                <c:pt idx="0">
                  <c:v>DNK</c:v>
                </c:pt>
                <c:pt idx="1">
                  <c:v>SWE</c:v>
                </c:pt>
                <c:pt idx="2">
                  <c:v>FIN</c:v>
                </c:pt>
                <c:pt idx="3">
                  <c:v>POR</c:v>
                </c:pt>
                <c:pt idx="4">
                  <c:v>KOR</c:v>
                </c:pt>
                <c:pt idx="5">
                  <c:v>NOR</c:v>
                </c:pt>
                <c:pt idx="6">
                  <c:v>CHE</c:v>
                </c:pt>
                <c:pt idx="7">
                  <c:v>BEL</c:v>
                </c:pt>
                <c:pt idx="8">
                  <c:v>ESP</c:v>
                </c:pt>
                <c:pt idx="9">
                  <c:v>CZE</c:v>
                </c:pt>
                <c:pt idx="10">
                  <c:v>FRA</c:v>
                </c:pt>
                <c:pt idx="11">
                  <c:v>NLD</c:v>
                </c:pt>
                <c:pt idx="12">
                  <c:v>ITA</c:v>
                </c:pt>
                <c:pt idx="13">
                  <c:v>AEs</c:v>
                </c:pt>
                <c:pt idx="14">
                  <c:v>DEU</c:v>
                </c:pt>
                <c:pt idx="15">
                  <c:v>CAN</c:v>
                </c:pt>
                <c:pt idx="16">
                  <c:v>JPN</c:v>
                </c:pt>
                <c:pt idx="17">
                  <c:v>AUS</c:v>
                </c:pt>
                <c:pt idx="18">
                  <c:v>SGP</c:v>
                </c:pt>
                <c:pt idx="19">
                  <c:v>GBR</c:v>
                </c:pt>
                <c:pt idx="20">
                  <c:v>NZL</c:v>
                </c:pt>
                <c:pt idx="21">
                  <c:v>USA</c:v>
                </c:pt>
              </c:strCache>
            </c:strRef>
          </c:cat>
          <c:val>
            <c:numRef>
              <c:f>Figure!$D$9:$D$30</c:f>
              <c:numCache>
                <c:formatCode>0.00</c:formatCode>
                <c:ptCount val="22"/>
                <c:pt idx="0">
                  <c:v>3.412660153565414</c:v>
                </c:pt>
                <c:pt idx="1">
                  <c:v>4.1538214254109116</c:v>
                </c:pt>
                <c:pt idx="2">
                  <c:v>4.7843243517875598</c:v>
                </c:pt>
                <c:pt idx="3" formatCode="0.0">
                  <c:v>6.047351260148055</c:v>
                </c:pt>
                <c:pt idx="4">
                  <c:v>6.3988747084813387</c:v>
                </c:pt>
                <c:pt idx="5">
                  <c:v>7.4022943167997886</c:v>
                </c:pt>
                <c:pt idx="6">
                  <c:v>7.9111095244692748</c:v>
                </c:pt>
                <c:pt idx="7">
                  <c:v>8.1786083953747628</c:v>
                </c:pt>
                <c:pt idx="8" formatCode="0.0">
                  <c:v>8.3916545151825215</c:v>
                </c:pt>
                <c:pt idx="9" formatCode="0.0">
                  <c:v>9.1911264362891103</c:v>
                </c:pt>
                <c:pt idx="10" formatCode="0.0">
                  <c:v>9.6358441242628725</c:v>
                </c:pt>
                <c:pt idx="11" formatCode="0.0">
                  <c:v>10.2862785044276</c:v>
                </c:pt>
                <c:pt idx="12" formatCode="0.0">
                  <c:v>10.898555638640223</c:v>
                </c:pt>
                <c:pt idx="13" formatCode="0.0">
                  <c:v>11.689682936652421</c:v>
                </c:pt>
                <c:pt idx="14" formatCode="0.0">
                  <c:v>15.322666856715248</c:v>
                </c:pt>
                <c:pt idx="15">
                  <c:v>15.923588544631171</c:v>
                </c:pt>
                <c:pt idx="16" formatCode="0.0">
                  <c:v>16.725807215115971</c:v>
                </c:pt>
                <c:pt idx="17">
                  <c:v>18.370673152863606</c:v>
                </c:pt>
                <c:pt idx="18" formatCode="0.0">
                  <c:v>18.39709108521307</c:v>
                </c:pt>
                <c:pt idx="19" formatCode="0.0">
                  <c:v>19.27047748644793</c:v>
                </c:pt>
                <c:pt idx="20" formatCode="0.0">
                  <c:v>19.27864943902545</c:v>
                </c:pt>
                <c:pt idx="21" formatCode="0.0">
                  <c:v>25.501884534848941</c:v>
                </c:pt>
              </c:numCache>
            </c:numRef>
          </c:val>
          <c:extLst>
            <c:ext xmlns:c16="http://schemas.microsoft.com/office/drawing/2014/chart" uri="{C3380CC4-5D6E-409C-BE32-E72D297353CC}">
              <c16:uniqueId val="{00000000-1312-4A2E-9AE4-7E3C2302D71E}"/>
            </c:ext>
          </c:extLst>
        </c:ser>
        <c:ser>
          <c:idx val="1"/>
          <c:order val="1"/>
          <c:tx>
            <c:strRef>
              <c:f>Figure!$E$8</c:f>
              <c:strCache>
                <c:ptCount val="1"/>
                <c:pt idx="0">
                  <c:v>Equity, loans, and guarantees</c:v>
                </c:pt>
              </c:strCache>
            </c:strRef>
          </c:tx>
          <c:spPr>
            <a:solidFill>
              <a:schemeClr val="accent1">
                <a:alpha val="50000"/>
              </a:schemeClr>
            </a:solidFill>
            <a:ln>
              <a:solidFill>
                <a:schemeClr val="tx1"/>
              </a:solidFill>
            </a:ln>
            <a:effectLst/>
          </c:spPr>
          <c:invertIfNegative val="0"/>
          <c:cat>
            <c:strRef>
              <c:f>Figure!$B$9:$B$30</c:f>
              <c:strCache>
                <c:ptCount val="22"/>
                <c:pt idx="0">
                  <c:v>DNK</c:v>
                </c:pt>
                <c:pt idx="1">
                  <c:v>SWE</c:v>
                </c:pt>
                <c:pt idx="2">
                  <c:v>FIN</c:v>
                </c:pt>
                <c:pt idx="3">
                  <c:v>POR</c:v>
                </c:pt>
                <c:pt idx="4">
                  <c:v>KOR</c:v>
                </c:pt>
                <c:pt idx="5">
                  <c:v>NOR</c:v>
                </c:pt>
                <c:pt idx="6">
                  <c:v>CHE</c:v>
                </c:pt>
                <c:pt idx="7">
                  <c:v>BEL</c:v>
                </c:pt>
                <c:pt idx="8">
                  <c:v>ESP</c:v>
                </c:pt>
                <c:pt idx="9">
                  <c:v>CZE</c:v>
                </c:pt>
                <c:pt idx="10">
                  <c:v>FRA</c:v>
                </c:pt>
                <c:pt idx="11">
                  <c:v>NLD</c:v>
                </c:pt>
                <c:pt idx="12">
                  <c:v>ITA</c:v>
                </c:pt>
                <c:pt idx="13">
                  <c:v>AEs</c:v>
                </c:pt>
                <c:pt idx="14">
                  <c:v>DEU</c:v>
                </c:pt>
                <c:pt idx="15">
                  <c:v>CAN</c:v>
                </c:pt>
                <c:pt idx="16">
                  <c:v>JPN</c:v>
                </c:pt>
                <c:pt idx="17">
                  <c:v>AUS</c:v>
                </c:pt>
                <c:pt idx="18">
                  <c:v>SGP</c:v>
                </c:pt>
                <c:pt idx="19">
                  <c:v>GBR</c:v>
                </c:pt>
                <c:pt idx="20">
                  <c:v>NZL</c:v>
                </c:pt>
                <c:pt idx="21">
                  <c:v>USA</c:v>
                </c:pt>
              </c:strCache>
            </c:strRef>
          </c:cat>
          <c:val>
            <c:numRef>
              <c:f>Figure!$E$9:$E$30</c:f>
              <c:numCache>
                <c:formatCode>0.00</c:formatCode>
                <c:ptCount val="22"/>
                <c:pt idx="0">
                  <c:v>15.633846892182691</c:v>
                </c:pt>
                <c:pt idx="1">
                  <c:v>5.2514737537682885</c:v>
                </c:pt>
                <c:pt idx="2">
                  <c:v>7.3670127186817282</c:v>
                </c:pt>
                <c:pt idx="3" formatCode="0.0">
                  <c:v>5.7474826026200523</c:v>
                </c:pt>
                <c:pt idx="4">
                  <c:v>10.133706995889202</c:v>
                </c:pt>
                <c:pt idx="5">
                  <c:v>4.5196068763764252</c:v>
                </c:pt>
                <c:pt idx="6">
                  <c:v>6.2155277269910725</c:v>
                </c:pt>
                <c:pt idx="7">
                  <c:v>11.880038211167678</c:v>
                </c:pt>
                <c:pt idx="8" formatCode="0.0">
                  <c:v>14.371343413420227</c:v>
                </c:pt>
                <c:pt idx="9" formatCode="0.0">
                  <c:v>15.476002537832619</c:v>
                </c:pt>
                <c:pt idx="10" formatCode="0.0">
                  <c:v>15.211519588685375</c:v>
                </c:pt>
                <c:pt idx="11" formatCode="0.0">
                  <c:v>4.3494834988345135</c:v>
                </c:pt>
                <c:pt idx="12" formatCode="0.0">
                  <c:v>35.253800114434831</c:v>
                </c:pt>
                <c:pt idx="13" formatCode="0.0">
                  <c:v>11.383563231643752</c:v>
                </c:pt>
                <c:pt idx="14" formatCode="0.0">
                  <c:v>27.786270524971673</c:v>
                </c:pt>
                <c:pt idx="15" formatCode="0.0">
                  <c:v>3.9502835723081042</c:v>
                </c:pt>
                <c:pt idx="16" formatCode="0.0">
                  <c:v>28.328059722826829</c:v>
                </c:pt>
                <c:pt idx="17" formatCode="0.0">
                  <c:v>1.7776432412226326</c:v>
                </c:pt>
                <c:pt idx="18" formatCode="0.0">
                  <c:v>4.6898725825572125</c:v>
                </c:pt>
                <c:pt idx="19" formatCode="0.0">
                  <c:v>16.715126946045977</c:v>
                </c:pt>
                <c:pt idx="20" formatCode="0.0">
                  <c:v>1.9558050155533067</c:v>
                </c:pt>
                <c:pt idx="21" formatCode="0.0">
                  <c:v>2.4409213281483697</c:v>
                </c:pt>
              </c:numCache>
            </c:numRef>
          </c:val>
          <c:extLst>
            <c:ext xmlns:c16="http://schemas.microsoft.com/office/drawing/2014/chart" uri="{C3380CC4-5D6E-409C-BE32-E72D297353CC}">
              <c16:uniqueId val="{00000001-1312-4A2E-9AE4-7E3C2302D71E}"/>
            </c:ext>
          </c:extLst>
        </c:ser>
        <c:dLbls>
          <c:showLegendKey val="0"/>
          <c:showVal val="0"/>
          <c:showCatName val="0"/>
          <c:showSerName val="0"/>
          <c:showPercent val="0"/>
          <c:showBubbleSize val="0"/>
        </c:dLbls>
        <c:gapWidth val="219"/>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5"/>
      </c:valAx>
      <c:spPr>
        <a:solidFill>
          <a:sysClr val="window" lastClr="FFFFFF"/>
        </a:solidFill>
        <a:ln>
          <a:solidFill>
            <a:schemeClr val="bg1">
              <a:lumMod val="65000"/>
            </a:schemeClr>
          </a:solidFill>
        </a:ln>
        <a:effectLst/>
      </c:spPr>
    </c:plotArea>
    <c:legend>
      <c:legendPos val="t"/>
      <c:layout>
        <c:manualLayout>
          <c:xMode val="edge"/>
          <c:yMode val="edge"/>
          <c:x val="0.32879677896883225"/>
          <c:y val="2.9435504235439957E-2"/>
          <c:w val="0.6339671330403378"/>
          <c:h val="0.114204601975773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3049588717316279E-2"/>
          <c:y val="1.8730476576258863E-2"/>
          <c:w val="0.90659446677405175"/>
          <c:h val="0.87739216972878398"/>
        </c:manualLayout>
      </c:layout>
      <c:barChart>
        <c:barDir val="col"/>
        <c:grouping val="clustered"/>
        <c:varyColors val="0"/>
        <c:ser>
          <c:idx val="0"/>
          <c:order val="0"/>
          <c:tx>
            <c:strRef>
              <c:f>Figure!$D$33</c:f>
              <c:strCache>
                <c:ptCount val="1"/>
                <c:pt idx="0">
                  <c:v>Additional spending and forgone revenue</c:v>
                </c:pt>
              </c:strCache>
            </c:strRef>
          </c:tx>
          <c:spPr>
            <a:solidFill>
              <a:srgbClr val="C00000"/>
            </a:solidFill>
            <a:ln>
              <a:noFill/>
            </a:ln>
            <a:effectLst/>
          </c:spPr>
          <c:invertIfNegative val="0"/>
          <c:cat>
            <c:strRef>
              <c:f>Figure!$B$34:$B$63</c:f>
              <c:strCache>
                <c:ptCount val="30"/>
                <c:pt idx="0">
                  <c:v>MEX</c:v>
                </c:pt>
                <c:pt idx="1">
                  <c:v>EGY</c:v>
                </c:pt>
                <c:pt idx="2">
                  <c:v>PAK</c:v>
                </c:pt>
                <c:pt idx="3">
                  <c:v>ALB</c:v>
                </c:pt>
                <c:pt idx="4">
                  <c:v>ARE</c:v>
                </c:pt>
                <c:pt idx="5">
                  <c:v>SAU</c:v>
                </c:pt>
                <c:pt idx="6">
                  <c:v>TUN</c:v>
                </c:pt>
                <c:pt idx="7">
                  <c:v>ROU</c:v>
                </c:pt>
                <c:pt idx="8">
                  <c:v>TUR</c:v>
                </c:pt>
                <c:pt idx="9">
                  <c:v>GTM</c:v>
                </c:pt>
                <c:pt idx="10">
                  <c:v>IND</c:v>
                </c:pt>
                <c:pt idx="11">
                  <c:v>PHL</c:v>
                </c:pt>
                <c:pt idx="12">
                  <c:v>COL</c:v>
                </c:pt>
                <c:pt idx="13">
                  <c:v>CHN</c:v>
                </c:pt>
                <c:pt idx="14">
                  <c:v>MKD</c:v>
                </c:pt>
                <c:pt idx="15">
                  <c:v>RUS</c:v>
                </c:pt>
                <c:pt idx="16">
                  <c:v>ZAF</c:v>
                </c:pt>
                <c:pt idx="17">
                  <c:v>BGR</c:v>
                </c:pt>
                <c:pt idx="18">
                  <c:v>ARG</c:v>
                </c:pt>
                <c:pt idx="19">
                  <c:v>KAZ</c:v>
                </c:pt>
                <c:pt idx="20">
                  <c:v>EMEs</c:v>
                </c:pt>
                <c:pt idx="21">
                  <c:v>POL</c:v>
                </c:pt>
                <c:pt idx="22">
                  <c:v>GEO</c:v>
                </c:pt>
                <c:pt idx="23">
                  <c:v>MUS</c:v>
                </c:pt>
                <c:pt idx="24">
                  <c:v>BRA</c:v>
                </c:pt>
                <c:pt idx="25">
                  <c:v>IDN</c:v>
                </c:pt>
                <c:pt idx="26">
                  <c:v>PER</c:v>
                </c:pt>
                <c:pt idx="27">
                  <c:v>SRB</c:v>
                </c:pt>
                <c:pt idx="28">
                  <c:v>CHL</c:v>
                </c:pt>
                <c:pt idx="29">
                  <c:v>THA</c:v>
                </c:pt>
              </c:strCache>
            </c:strRef>
          </c:cat>
          <c:val>
            <c:numRef>
              <c:f>Figure!$D$34:$D$63</c:f>
              <c:numCache>
                <c:formatCode>0.00</c:formatCode>
                <c:ptCount val="30"/>
                <c:pt idx="0">
                  <c:v>0.65442396745349374</c:v>
                </c:pt>
                <c:pt idx="1">
                  <c:v>1.5680273855370135</c:v>
                </c:pt>
                <c:pt idx="2">
                  <c:v>1.9924764282578782</c:v>
                </c:pt>
                <c:pt idx="3">
                  <c:v>2.2512745821149296</c:v>
                </c:pt>
                <c:pt idx="4">
                  <c:v>2.4280205714042915</c:v>
                </c:pt>
                <c:pt idx="5">
                  <c:v>2.5748045471962433</c:v>
                </c:pt>
                <c:pt idx="6">
                  <c:v>2.7063675838678867</c:v>
                </c:pt>
                <c:pt idx="7">
                  <c:v>3.4105481432975906</c:v>
                </c:pt>
                <c:pt idx="8">
                  <c:v>3.5051335544057456</c:v>
                </c:pt>
                <c:pt idx="9">
                  <c:v>3.6</c:v>
                </c:pt>
                <c:pt idx="10">
                  <c:v>4.0942849748831005</c:v>
                </c:pt>
                <c:pt idx="11">
                  <c:v>4.4540862311094349</c:v>
                </c:pt>
                <c:pt idx="12">
                  <c:v>4.6169047873067024</c:v>
                </c:pt>
                <c:pt idx="13">
                  <c:v>4.7801156546253365</c:v>
                </c:pt>
                <c:pt idx="14">
                  <c:v>4.9999322298342346</c:v>
                </c:pt>
                <c:pt idx="15">
                  <c:v>5.0052604782800296</c:v>
                </c:pt>
                <c:pt idx="16">
                  <c:v>5.2761463161134641</c:v>
                </c:pt>
                <c:pt idx="17">
                  <c:v>5.2881375195675631</c:v>
                </c:pt>
                <c:pt idx="18">
                  <c:v>5.3494285646507498</c:v>
                </c:pt>
                <c:pt idx="19">
                  <c:v>5.4981978129390923</c:v>
                </c:pt>
                <c:pt idx="20">
                  <c:v>5.6698092972075358</c:v>
                </c:pt>
                <c:pt idx="21">
                  <c:v>6.463386978297736</c:v>
                </c:pt>
                <c:pt idx="22">
                  <c:v>7.1244589204446775</c:v>
                </c:pt>
                <c:pt idx="23">
                  <c:v>9.1999999999999993</c:v>
                </c:pt>
                <c:pt idx="24">
                  <c:v>9.2362126130761357</c:v>
                </c:pt>
                <c:pt idx="25">
                  <c:v>9.3296348167315557</c:v>
                </c:pt>
                <c:pt idx="26">
                  <c:v>9.5938667869694285</c:v>
                </c:pt>
                <c:pt idx="27">
                  <c:v>12.153288105042478</c:v>
                </c:pt>
                <c:pt idx="28">
                  <c:v>12.682470249573225</c:v>
                </c:pt>
                <c:pt idx="29">
                  <c:v>14.587579816038515</c:v>
                </c:pt>
              </c:numCache>
            </c:numRef>
          </c:val>
          <c:extLst>
            <c:ext xmlns:c16="http://schemas.microsoft.com/office/drawing/2014/chart" uri="{C3380CC4-5D6E-409C-BE32-E72D297353CC}">
              <c16:uniqueId val="{00000000-FAC4-421F-84BC-5330B1861B4B}"/>
            </c:ext>
          </c:extLst>
        </c:ser>
        <c:ser>
          <c:idx val="1"/>
          <c:order val="1"/>
          <c:tx>
            <c:strRef>
              <c:f>Figure!$E$33</c:f>
              <c:strCache>
                <c:ptCount val="1"/>
                <c:pt idx="0">
                  <c:v>Equity, loans, and guarantees</c:v>
                </c:pt>
              </c:strCache>
            </c:strRef>
          </c:tx>
          <c:spPr>
            <a:solidFill>
              <a:srgbClr val="C00000">
                <a:alpha val="25000"/>
              </a:srgbClr>
            </a:solidFill>
            <a:ln>
              <a:solidFill>
                <a:sysClr val="windowText" lastClr="000000"/>
              </a:solidFill>
            </a:ln>
            <a:effectLst/>
          </c:spPr>
          <c:invertIfNegative val="0"/>
          <c:cat>
            <c:strRef>
              <c:f>Figure!$B$34:$B$63</c:f>
              <c:strCache>
                <c:ptCount val="30"/>
                <c:pt idx="0">
                  <c:v>MEX</c:v>
                </c:pt>
                <c:pt idx="1">
                  <c:v>EGY</c:v>
                </c:pt>
                <c:pt idx="2">
                  <c:v>PAK</c:v>
                </c:pt>
                <c:pt idx="3">
                  <c:v>ALB</c:v>
                </c:pt>
                <c:pt idx="4">
                  <c:v>ARE</c:v>
                </c:pt>
                <c:pt idx="5">
                  <c:v>SAU</c:v>
                </c:pt>
                <c:pt idx="6">
                  <c:v>TUN</c:v>
                </c:pt>
                <c:pt idx="7">
                  <c:v>ROU</c:v>
                </c:pt>
                <c:pt idx="8">
                  <c:v>TUR</c:v>
                </c:pt>
                <c:pt idx="9">
                  <c:v>GTM</c:v>
                </c:pt>
                <c:pt idx="10">
                  <c:v>IND</c:v>
                </c:pt>
                <c:pt idx="11">
                  <c:v>PHL</c:v>
                </c:pt>
                <c:pt idx="12">
                  <c:v>COL</c:v>
                </c:pt>
                <c:pt idx="13">
                  <c:v>CHN</c:v>
                </c:pt>
                <c:pt idx="14">
                  <c:v>MKD</c:v>
                </c:pt>
                <c:pt idx="15">
                  <c:v>RUS</c:v>
                </c:pt>
                <c:pt idx="16">
                  <c:v>ZAF</c:v>
                </c:pt>
                <c:pt idx="17">
                  <c:v>BGR</c:v>
                </c:pt>
                <c:pt idx="18">
                  <c:v>ARG</c:v>
                </c:pt>
                <c:pt idx="19">
                  <c:v>KAZ</c:v>
                </c:pt>
                <c:pt idx="20">
                  <c:v>EMEs</c:v>
                </c:pt>
                <c:pt idx="21">
                  <c:v>POL</c:v>
                </c:pt>
                <c:pt idx="22">
                  <c:v>GEO</c:v>
                </c:pt>
                <c:pt idx="23">
                  <c:v>MUS</c:v>
                </c:pt>
                <c:pt idx="24">
                  <c:v>BRA</c:v>
                </c:pt>
                <c:pt idx="25">
                  <c:v>IDN</c:v>
                </c:pt>
                <c:pt idx="26">
                  <c:v>PER</c:v>
                </c:pt>
                <c:pt idx="27">
                  <c:v>SRB</c:v>
                </c:pt>
                <c:pt idx="28">
                  <c:v>CHL</c:v>
                </c:pt>
                <c:pt idx="29">
                  <c:v>THA</c:v>
                </c:pt>
              </c:strCache>
            </c:strRef>
          </c:cat>
          <c:val>
            <c:numRef>
              <c:f>Figure!$E$34:$E$63</c:f>
              <c:numCache>
                <c:formatCode>0.00</c:formatCode>
                <c:ptCount val="30"/>
                <c:pt idx="0">
                  <c:v>1.1974658424331148</c:v>
                </c:pt>
                <c:pt idx="1">
                  <c:v>0.12734274711168164</c:v>
                </c:pt>
                <c:pt idx="3">
                  <c:v>1.6169375451654189</c:v>
                </c:pt>
                <c:pt idx="5">
                  <c:v>0.97888278462693656</c:v>
                </c:pt>
                <c:pt idx="6">
                  <c:v>0.81599022629182516</c:v>
                </c:pt>
                <c:pt idx="7">
                  <c:v>4.1779214755395486</c:v>
                </c:pt>
                <c:pt idx="8">
                  <c:v>9.6336683671683065</c:v>
                </c:pt>
                <c:pt idx="10">
                  <c:v>6.2246558359377007</c:v>
                </c:pt>
                <c:pt idx="11">
                  <c:v>0.58533048093428119</c:v>
                </c:pt>
                <c:pt idx="12">
                  <c:v>5.3832647172315324</c:v>
                </c:pt>
                <c:pt idx="13">
                  <c:v>1.296401676315599</c:v>
                </c:pt>
                <c:pt idx="14">
                  <c:v>3.0150193747373906</c:v>
                </c:pt>
                <c:pt idx="15">
                  <c:v>1.464931484771163</c:v>
                </c:pt>
                <c:pt idx="16">
                  <c:v>4.0820635535067034</c:v>
                </c:pt>
                <c:pt idx="17">
                  <c:v>3.8969661376660198</c:v>
                </c:pt>
                <c:pt idx="18">
                  <c:v>2.5591817628180888</c:v>
                </c:pt>
                <c:pt idx="19">
                  <c:v>2.8523315300149559</c:v>
                </c:pt>
                <c:pt idx="20">
                  <c:v>4.2361312566225386</c:v>
                </c:pt>
                <c:pt idx="21">
                  <c:v>4.8195695177719475</c:v>
                </c:pt>
                <c:pt idx="22">
                  <c:v>0</c:v>
                </c:pt>
                <c:pt idx="23">
                  <c:v>37.268193384223913</c:v>
                </c:pt>
                <c:pt idx="24">
                  <c:v>6.1507617357903435</c:v>
                </c:pt>
                <c:pt idx="25">
                  <c:v>0.87565550573371964</c:v>
                </c:pt>
                <c:pt idx="26">
                  <c:v>9.6353601006978682</c:v>
                </c:pt>
                <c:pt idx="27">
                  <c:v>3.203050328889208</c:v>
                </c:pt>
                <c:pt idx="28">
                  <c:v>2.4993918327164151</c:v>
                </c:pt>
                <c:pt idx="29">
                  <c:v>4.2361312566225386</c:v>
                </c:pt>
              </c:numCache>
            </c:numRef>
          </c:val>
          <c:extLst>
            <c:ext xmlns:c16="http://schemas.microsoft.com/office/drawing/2014/chart" uri="{C3380CC4-5D6E-409C-BE32-E72D297353CC}">
              <c16:uniqueId val="{00000001-FAC4-421F-84BC-5330B1861B4B}"/>
            </c:ext>
          </c:extLst>
        </c:ser>
        <c:dLbls>
          <c:showLegendKey val="0"/>
          <c:showVal val="0"/>
          <c:showCatName val="0"/>
          <c:showSerName val="0"/>
          <c:showPercent val="0"/>
          <c:showBubbleSize val="0"/>
        </c:dLbls>
        <c:gapWidth val="10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3"/>
      </c:valAx>
      <c:spPr>
        <a:solidFill>
          <a:sysClr val="window" lastClr="FFFFFF"/>
        </a:solidFill>
        <a:ln>
          <a:solidFill>
            <a:schemeClr val="bg1">
              <a:lumMod val="65000"/>
            </a:schemeClr>
          </a:solidFill>
        </a:ln>
        <a:effectLst/>
      </c:spPr>
    </c:plotArea>
    <c:legend>
      <c:legendPos val="t"/>
      <c:layout>
        <c:manualLayout>
          <c:xMode val="edge"/>
          <c:yMode val="edge"/>
          <c:x val="0.37346485284110725"/>
          <c:y val="1.860111236095488E-2"/>
          <c:w val="0.59030346696858971"/>
          <c:h val="0.156771423980165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97373492649083E-2"/>
          <c:y val="2.7100674915635545E-2"/>
          <c:w val="0.90764434737628596"/>
          <c:h val="0.84456282808398953"/>
        </c:manualLayout>
      </c:layout>
      <c:barChart>
        <c:barDir val="col"/>
        <c:grouping val="clustered"/>
        <c:varyColors val="0"/>
        <c:ser>
          <c:idx val="0"/>
          <c:order val="0"/>
          <c:tx>
            <c:strRef>
              <c:f>Figure!$D$66</c:f>
              <c:strCache>
                <c:ptCount val="1"/>
                <c:pt idx="0">
                  <c:v>Additional spending and forgone revenue</c:v>
                </c:pt>
              </c:strCache>
            </c:strRef>
          </c:tx>
          <c:spPr>
            <a:solidFill>
              <a:schemeClr val="accent6">
                <a:lumMod val="75000"/>
              </a:schemeClr>
            </a:solidFill>
            <a:ln>
              <a:solidFill>
                <a:schemeClr val="tx1"/>
              </a:solidFill>
            </a:ln>
            <a:effectLst/>
          </c:spPr>
          <c:invertIfNegative val="0"/>
          <c:cat>
            <c:strRef>
              <c:f>Figure!$B$67:$B$81</c:f>
              <c:strCache>
                <c:ptCount val="15"/>
                <c:pt idx="0">
                  <c:v>MMR</c:v>
                </c:pt>
                <c:pt idx="1">
                  <c:v>NER</c:v>
                </c:pt>
                <c:pt idx="2">
                  <c:v>VNM</c:v>
                </c:pt>
                <c:pt idx="3">
                  <c:v>ZMB</c:v>
                </c:pt>
                <c:pt idx="4">
                  <c:v>BGD</c:v>
                </c:pt>
                <c:pt idx="5">
                  <c:v>NGA</c:v>
                </c:pt>
                <c:pt idx="6">
                  <c:v>KEN</c:v>
                </c:pt>
                <c:pt idx="7">
                  <c:v>ETH</c:v>
                </c:pt>
                <c:pt idx="8">
                  <c:v>LIDCs</c:v>
                </c:pt>
                <c:pt idx="9">
                  <c:v>GHA</c:v>
                </c:pt>
                <c:pt idx="10">
                  <c:v>HND</c:v>
                </c:pt>
                <c:pt idx="11">
                  <c:v>TCD</c:v>
                </c:pt>
                <c:pt idx="12">
                  <c:v>SEN</c:v>
                </c:pt>
                <c:pt idx="13">
                  <c:v>UZB</c:v>
                </c:pt>
                <c:pt idx="14">
                  <c:v>GNB</c:v>
                </c:pt>
              </c:strCache>
            </c:strRef>
          </c:cat>
          <c:val>
            <c:numRef>
              <c:f>Figure!$D$67:$D$81</c:f>
              <c:numCache>
                <c:formatCode>0.00</c:formatCode>
                <c:ptCount val="15"/>
                <c:pt idx="0">
                  <c:v>0.72281351560912455</c:v>
                </c:pt>
                <c:pt idx="1">
                  <c:v>0.73950497267868009</c:v>
                </c:pt>
                <c:pt idx="2">
                  <c:v>1.7703277371912942</c:v>
                </c:pt>
                <c:pt idx="3">
                  <c:v>2.0034076510126715</c:v>
                </c:pt>
                <c:pt idx="4">
                  <c:v>2.3031524031183657</c:v>
                </c:pt>
                <c:pt idx="5">
                  <c:v>2.3707909284496753</c:v>
                </c:pt>
                <c:pt idx="6">
                  <c:v>2.4514108377373729</c:v>
                </c:pt>
                <c:pt idx="7">
                  <c:v>2.5012230728926022</c:v>
                </c:pt>
                <c:pt idx="8">
                  <c:v>3.1979067729239525</c:v>
                </c:pt>
                <c:pt idx="9">
                  <c:v>3.2595714054750369</c:v>
                </c:pt>
                <c:pt idx="10">
                  <c:v>3.4</c:v>
                </c:pt>
                <c:pt idx="11">
                  <c:v>5.2826581188893638</c:v>
                </c:pt>
                <c:pt idx="12">
                  <c:v>5.6043392101381073</c:v>
                </c:pt>
                <c:pt idx="13">
                  <c:v>5.6592682383610757</c:v>
                </c:pt>
                <c:pt idx="14">
                  <c:v>6.702226729381966</c:v>
                </c:pt>
              </c:numCache>
            </c:numRef>
          </c:val>
          <c:extLst>
            <c:ext xmlns:c16="http://schemas.microsoft.com/office/drawing/2014/chart" uri="{C3380CC4-5D6E-409C-BE32-E72D297353CC}">
              <c16:uniqueId val="{00000000-9BF2-408F-970B-BAEAD5E49BD9}"/>
            </c:ext>
          </c:extLst>
        </c:ser>
        <c:ser>
          <c:idx val="1"/>
          <c:order val="1"/>
          <c:tx>
            <c:strRef>
              <c:f>Figure!$E$66</c:f>
              <c:strCache>
                <c:ptCount val="1"/>
                <c:pt idx="0">
                  <c:v>Equity, loans, and guarantees</c:v>
                </c:pt>
              </c:strCache>
            </c:strRef>
          </c:tx>
          <c:spPr>
            <a:solidFill>
              <a:schemeClr val="accent6">
                <a:lumMod val="60000"/>
                <a:lumOff val="40000"/>
              </a:schemeClr>
            </a:solidFill>
            <a:ln>
              <a:solidFill>
                <a:schemeClr val="tx1"/>
              </a:solidFill>
            </a:ln>
            <a:effectLst/>
          </c:spPr>
          <c:invertIfNegative val="0"/>
          <c:cat>
            <c:strRef>
              <c:f>Figure!$B$67:$B$81</c:f>
              <c:strCache>
                <c:ptCount val="15"/>
                <c:pt idx="0">
                  <c:v>MMR</c:v>
                </c:pt>
                <c:pt idx="1">
                  <c:v>NER</c:v>
                </c:pt>
                <c:pt idx="2">
                  <c:v>VNM</c:v>
                </c:pt>
                <c:pt idx="3">
                  <c:v>ZMB</c:v>
                </c:pt>
                <c:pt idx="4">
                  <c:v>BGD</c:v>
                </c:pt>
                <c:pt idx="5">
                  <c:v>NGA</c:v>
                </c:pt>
                <c:pt idx="6">
                  <c:v>KEN</c:v>
                </c:pt>
                <c:pt idx="7">
                  <c:v>ETH</c:v>
                </c:pt>
                <c:pt idx="8">
                  <c:v>LIDCs</c:v>
                </c:pt>
                <c:pt idx="9">
                  <c:v>GHA</c:v>
                </c:pt>
                <c:pt idx="10">
                  <c:v>HND</c:v>
                </c:pt>
                <c:pt idx="11">
                  <c:v>TCD</c:v>
                </c:pt>
                <c:pt idx="12">
                  <c:v>SEN</c:v>
                </c:pt>
                <c:pt idx="13">
                  <c:v>UZB</c:v>
                </c:pt>
                <c:pt idx="14">
                  <c:v>GNB</c:v>
                </c:pt>
              </c:strCache>
            </c:strRef>
          </c:cat>
          <c:val>
            <c:numRef>
              <c:f>Figure!$E$67:$E$81</c:f>
              <c:numCache>
                <c:formatCode>0.00</c:formatCode>
                <c:ptCount val="15"/>
                <c:pt idx="0">
                  <c:v>0.26062987341675165</c:v>
                </c:pt>
                <c:pt idx="1">
                  <c:v>1.2643271887137633</c:v>
                </c:pt>
                <c:pt idx="2">
                  <c:v>0.95527150819157258</c:v>
                </c:pt>
                <c:pt idx="3">
                  <c:v>0.25395308252273302</c:v>
                </c:pt>
                <c:pt idx="4">
                  <c:v>7.3010489709098458E-2</c:v>
                </c:pt>
                <c:pt idx="7">
                  <c:v>0.62234223377659526</c:v>
                </c:pt>
                <c:pt idx="8">
                  <c:v>0.85001052979939085</c:v>
                </c:pt>
                <c:pt idx="9">
                  <c:v>0.31291885492560356</c:v>
                </c:pt>
                <c:pt idx="10">
                  <c:v>1.173741782953889</c:v>
                </c:pt>
                <c:pt idx="11">
                  <c:v>0</c:v>
                </c:pt>
                <c:pt idx="12">
                  <c:v>1.4098966566385176</c:v>
                </c:pt>
                <c:pt idx="13">
                  <c:v>2.0537666994052293</c:v>
                </c:pt>
                <c:pt idx="14">
                  <c:v>1.8202679873389367</c:v>
                </c:pt>
              </c:numCache>
            </c:numRef>
          </c:val>
          <c:extLst>
            <c:ext xmlns:c16="http://schemas.microsoft.com/office/drawing/2014/chart" uri="{C3380CC4-5D6E-409C-BE32-E72D297353CC}">
              <c16:uniqueId val="{00000001-9BF2-408F-970B-BAEAD5E49BD9}"/>
            </c:ext>
          </c:extLst>
        </c:ser>
        <c:dLbls>
          <c:showLegendKey val="0"/>
          <c:showVal val="0"/>
          <c:showCatName val="0"/>
          <c:showSerName val="0"/>
          <c:showPercent val="0"/>
          <c:showBubbleSize val="0"/>
        </c:dLbls>
        <c:gapWidth val="380"/>
        <c:axId val="413358112"/>
        <c:axId val="167687744"/>
      </c:barChart>
      <c:catAx>
        <c:axId val="4133581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7687744"/>
        <c:crosses val="autoZero"/>
        <c:auto val="1"/>
        <c:lblAlgn val="ctr"/>
        <c:lblOffset val="100"/>
        <c:noMultiLvlLbl val="0"/>
      </c:catAx>
      <c:valAx>
        <c:axId val="167687744"/>
        <c:scaling>
          <c:orientation val="minMax"/>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13358112"/>
        <c:crosses val="autoZero"/>
        <c:crossBetween val="between"/>
        <c:majorUnit val="0.5"/>
      </c:valAx>
      <c:spPr>
        <a:solidFill>
          <a:sysClr val="window" lastClr="FFFFFF"/>
        </a:solidFill>
        <a:ln>
          <a:solidFill>
            <a:schemeClr val="bg1">
              <a:lumMod val="65000"/>
            </a:schemeClr>
          </a:solidFill>
        </a:ln>
        <a:effectLst/>
      </c:spPr>
    </c:plotArea>
    <c:legend>
      <c:legendPos val="t"/>
      <c:layout>
        <c:manualLayout>
          <c:xMode val="edge"/>
          <c:yMode val="edge"/>
          <c:x val="0.36038868952646463"/>
          <c:y val="3.1567445719384482E-2"/>
          <c:w val="0.61097961511211973"/>
          <c:h val="9.837025473856583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459202</xdr:colOff>
      <xdr:row>6</xdr:row>
      <xdr:rowOff>44402</xdr:rowOff>
    </xdr:from>
    <xdr:to>
      <xdr:col>16</xdr:col>
      <xdr:colOff>415192</xdr:colOff>
      <xdr:row>28</xdr:row>
      <xdr:rowOff>97692</xdr:rowOff>
    </xdr:to>
    <xdr:graphicFrame macro="">
      <xdr:nvGraphicFramePr>
        <xdr:cNvPr id="2" name="Chart 1">
          <a:extLst>
            <a:ext uri="{FF2B5EF4-FFF2-40B4-BE49-F238E27FC236}">
              <a16:creationId xmlns:a16="http://schemas.microsoft.com/office/drawing/2014/main" id="{1706C6A5-5370-4BFA-B07B-6651671F5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464924</xdr:colOff>
      <xdr:row>5</xdr:row>
      <xdr:rowOff>134326</xdr:rowOff>
    </xdr:from>
    <xdr:to>
      <xdr:col>26</xdr:col>
      <xdr:colOff>512885</xdr:colOff>
      <xdr:row>29</xdr:row>
      <xdr:rowOff>134326</xdr:rowOff>
    </xdr:to>
    <xdr:graphicFrame macro="">
      <xdr:nvGraphicFramePr>
        <xdr:cNvPr id="3" name="Chart 2">
          <a:extLst>
            <a:ext uri="{FF2B5EF4-FFF2-40B4-BE49-F238E27FC236}">
              <a16:creationId xmlns:a16="http://schemas.microsoft.com/office/drawing/2014/main" id="{F4EB0F40-B9EC-493B-96D4-3CB48D3AC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603333</xdr:colOff>
      <xdr:row>5</xdr:row>
      <xdr:rowOff>146539</xdr:rowOff>
    </xdr:from>
    <xdr:to>
      <xdr:col>35</xdr:col>
      <xdr:colOff>341923</xdr:colOff>
      <xdr:row>30</xdr:row>
      <xdr:rowOff>12211</xdr:rowOff>
    </xdr:to>
    <xdr:graphicFrame macro="">
      <xdr:nvGraphicFramePr>
        <xdr:cNvPr id="4" name="Chart 3">
          <a:extLst>
            <a:ext uri="{FF2B5EF4-FFF2-40B4-BE49-F238E27FC236}">
              <a16:creationId xmlns:a16="http://schemas.microsoft.com/office/drawing/2014/main" id="{02D1FA2C-7F5F-4F01-B43E-5B99089BB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7</xdr:col>
      <xdr:colOff>415192</xdr:colOff>
      <xdr:row>1</xdr:row>
      <xdr:rowOff>73891</xdr:rowOff>
    </xdr:from>
    <xdr:ext cx="5038148" cy="793462"/>
    <xdr:pic>
      <xdr:nvPicPr>
        <xdr:cNvPr id="5" name="Picture 4">
          <a:extLst>
            <a:ext uri="{FF2B5EF4-FFF2-40B4-BE49-F238E27FC236}">
              <a16:creationId xmlns:a16="http://schemas.microsoft.com/office/drawing/2014/main" id="{2A56EDF3-9A78-48A8-83B7-21C92B9D58A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92596" y="232641"/>
          <a:ext cx="5038148" cy="793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293078</xdr:colOff>
      <xdr:row>31</xdr:row>
      <xdr:rowOff>12212</xdr:rowOff>
    </xdr:from>
    <xdr:to>
      <xdr:col>23</xdr:col>
      <xdr:colOff>342531</xdr:colOff>
      <xdr:row>39</xdr:row>
      <xdr:rowOff>61403</xdr:rowOff>
    </xdr:to>
    <xdr:sp macro="" textlink="">
      <xdr:nvSpPr>
        <xdr:cNvPr id="6" name="TextBox 5">
          <a:extLst>
            <a:ext uri="{FF2B5EF4-FFF2-40B4-BE49-F238E27FC236}">
              <a16:creationId xmlns:a16="http://schemas.microsoft.com/office/drawing/2014/main" id="{EB53E674-B097-4155-8BB2-552C67E20004}"/>
            </a:ext>
          </a:extLst>
        </xdr:cNvPr>
        <xdr:cNvSpPr txBox="1"/>
      </xdr:nvSpPr>
      <xdr:spPr>
        <a:xfrm>
          <a:off x="10116528" y="4965212"/>
          <a:ext cx="6755053" cy="1325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0" u="none" strike="noStrike" baseline="0">
              <a:solidFill>
                <a:schemeClr val="dk1"/>
              </a:solidFill>
              <a:latin typeface="+mn-lt"/>
              <a:ea typeface="+mn-ea"/>
              <a:cs typeface="+mn-cs"/>
            </a:rPr>
            <a:t>Sources: Database of Country Fiscal Measures in Response to the COVID-19 Pandemic; and IMF staff estimates.</a:t>
          </a:r>
        </a:p>
        <a:p>
          <a:pPr rtl="0"/>
          <a:r>
            <a:rPr lang="en-US" sz="1100" b="0" i="0" u="none" strike="noStrike" baseline="0">
              <a:solidFill>
                <a:schemeClr val="dk1"/>
              </a:solidFill>
              <a:latin typeface="+mn-lt"/>
              <a:ea typeface="+mn-ea"/>
              <a:cs typeface="+mn-cs"/>
            </a:rPr>
            <a:t>Note: Estimates as of September 27, 2021. Numbers in U.S. dollar and percent of GDP are based on October 2021 World Economic Outlook  unless otherwise stated. Country group averages are weighted by GDP in US dollars adjusted by purchasing power parity. Data labels use International Organization for Standardization country codes. AEs = advanced economies; EMEs = emerging market economies; LIDCs = low-income developing countries.</a:t>
          </a:r>
          <a:endParaRPr lang="en-US" sz="1100" b="0" i="1" u="none" strike="noStrike" baseline="0">
            <a:solidFill>
              <a:schemeClr val="dk1"/>
            </a:solidFill>
            <a:latin typeface="+mn-lt"/>
            <a:ea typeface="+mn-ea"/>
            <a:cs typeface="+mn-cs"/>
          </a:endParaRPr>
        </a:p>
        <a:p>
          <a:endParaRPr 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0.61293</cdr:x>
      <cdr:y>0.875</cdr:y>
    </cdr:from>
    <cdr:to>
      <cdr:x>0.65293</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2831750" y="2906652"/>
          <a:ext cx="184802" cy="415236"/>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0.66256</cdr:x>
      <cdr:y>0.87328</cdr:y>
    </cdr:from>
    <cdr:to>
      <cdr:x>0.70117</cdr:x>
      <cdr:y>1</cdr:y>
    </cdr:to>
    <cdr:sp macro="" textlink="">
      <cdr:nvSpPr>
        <cdr:cNvPr id="2" name="Oval 1">
          <a:extLst xmlns:a="http://schemas.openxmlformats.org/drawingml/2006/main">
            <a:ext uri="{FF2B5EF4-FFF2-40B4-BE49-F238E27FC236}">
              <a16:creationId xmlns:a16="http://schemas.microsoft.com/office/drawing/2014/main" id="{2BC80502-78B7-4C96-81B3-9A14F86E4E34}"/>
            </a:ext>
          </a:extLst>
        </cdr:cNvPr>
        <cdr:cNvSpPr/>
      </cdr:nvSpPr>
      <cdr:spPr>
        <a:xfrm xmlns:a="http://schemas.openxmlformats.org/drawingml/2006/main">
          <a:off x="3040839" y="2830600"/>
          <a:ext cx="177202" cy="410743"/>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0.56748</cdr:x>
      <cdr:y>0.875</cdr:y>
    </cdr:from>
    <cdr:to>
      <cdr:x>0.60748</cdr:x>
      <cdr:y>1</cdr:y>
    </cdr:to>
    <cdr:sp macro="" textlink="">
      <cdr:nvSpPr>
        <cdr:cNvPr id="2" name="Oval 1">
          <a:extLst xmlns:a="http://schemas.openxmlformats.org/drawingml/2006/main">
            <a:ext uri="{FF2B5EF4-FFF2-40B4-BE49-F238E27FC236}">
              <a16:creationId xmlns:a16="http://schemas.microsoft.com/office/drawing/2014/main" id="{973CD3B6-920C-4A6F-8791-4533D8729BF2}"/>
            </a:ext>
          </a:extLst>
        </cdr:cNvPr>
        <cdr:cNvSpPr/>
      </cdr:nvSpPr>
      <cdr:spPr>
        <a:xfrm xmlns:a="http://schemas.openxmlformats.org/drawingml/2006/main">
          <a:off x="3047689" y="3211325"/>
          <a:ext cx="214824" cy="458761"/>
        </a:xfrm>
        <a:prstGeom xmlns:a="http://schemas.openxmlformats.org/drawingml/2006/main" prst="ellipse">
          <a:avLst/>
        </a:prstGeom>
        <a:noFill xmlns:a="http://schemas.openxmlformats.org/drawingml/2006/mai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persons/person.xml><?xml version="1.0" encoding="utf-8"?>
<personList xmlns="http://schemas.microsoft.com/office/spreadsheetml/2018/threadedcomments" xmlns:x="http://schemas.openxmlformats.org/spreadsheetml/2006/main">
  <person displayName="Han, Xuehui" id="{6765AB0A-BBBD-4D0A-89D4-E5FC0058D95F}" userId="S::XHan@imf.org::bb66be45-1b11-4526-9c9c-fc7f1246fb84" providerId="AD"/>
  <person displayName="Xiang, Yuan" id="{51F219BB-4F49-4D17-9380-91600E94D41C}" userId="S::YXiang@imf.org::e94fa55b-6db6-4762-b16b-673156678b5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Q102" dT="2021-06-10T18:49:39.94" personId="{6765AB0A-BBBD-4D0A-89D4-E5FC0058D95F}" id="{0781806D-CC83-47BA-B9FF-6AF38A3C68F0}">
    <text>The input on web for item 1.2 (26 bn) is mislabeled. There is only one 26 bn for guarantees</text>
  </threadedComment>
</ThreadedComments>
</file>

<file path=xl/threadedComments/threadedComment2.xml><?xml version="1.0" encoding="utf-8"?>
<ThreadedComments xmlns="http://schemas.microsoft.com/office/spreadsheetml/2018/threadedcomments" xmlns:x="http://schemas.openxmlformats.org/spreadsheetml/2006/main">
  <threadedComment ref="G99" dT="2020-12-16T17:41:42.68" personId="{51F219BB-4F49-4D17-9380-91600E94D41C}" id="{6F0C6159-6FB5-4FA6-9329-453CC82069F7}">
    <text>Also from the originally adopted 19bn, a 2bn lek was not used (for humanitarian relief) and an additional 1bn was kept as reserve fund (hence not appropriated). With those subtractions, the figures match. from Linda</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nglish.moef.go.kr/pc/selectTbPressCenterDtl.do?boardCd=N0001&amp;seq=4860" TargetMode="External"/><Relationship Id="rId13" Type="http://schemas.openxmlformats.org/officeDocument/2006/relationships/hyperlink" Target="https://www.regjeringen.no/en/aktuelt/economic-measures-in-norway-in-response-to-covid-19/id2694274/" TargetMode="External"/><Relationship Id="rId18" Type="http://schemas.openxmlformats.org/officeDocument/2006/relationships/hyperlink" Target="https://virksomhedsguiden.dk/erhvervsfremme/content/temaer/coronavirus_og_din_virksomhed/artikler/udvidet-ret-til-arbejdsgiverrefusionsygedagpenge-til-selvstaendige/2512f642-74bb-478e-9ffa-af2f6aeb321f/" TargetMode="External"/><Relationship Id="rId3" Type="http://schemas.openxmlformats.org/officeDocument/2006/relationships/hyperlink" Target="https://www.mof.gov.sa/en/MediaCenter/news/Pages/News_20032020.aspx" TargetMode="External"/><Relationship Id="rId21" Type="http://schemas.openxmlformats.org/officeDocument/2006/relationships/hyperlink" Target="http://www.governo.it/it/articolo/comunicato-stampa-del-consiglio-dei-ministri-n-39/14417" TargetMode="External"/><Relationship Id="rId7" Type="http://schemas.openxmlformats.org/officeDocument/2006/relationships/hyperlink" Target="https://www.bundesregierung.de/breg-de/themen/coronavirus" TargetMode="External"/><Relationship Id="rId12" Type="http://schemas.openxmlformats.org/officeDocument/2006/relationships/hyperlink" Target="https://www.rijksoverheid.nl/actueel/nieuws/2020/03/17/coronavirus-kabinet-neemt-pakket-nieuwe-maatregelen-voor-banen-en-economie" TargetMode="External"/><Relationship Id="rId17" Type="http://schemas.openxmlformats.org/officeDocument/2006/relationships/hyperlink" Target="https://gulfnews.com/uae/revealed-15-point-economic-stimulus-package-in-abu-dhabi-1.1584340605165" TargetMode="External"/><Relationship Id="rId2" Type="http://schemas.openxmlformats.org/officeDocument/2006/relationships/hyperlink" Target="http://www5.diputados.gob.mx/index.php/esl/Comunicacion/Boletines/2020/Marzo/18/3509-Aprueban-crear-el-Fondo-para-la-Prevencion-y-Atencion-de-Emergencias" TargetMode="External"/><Relationship Id="rId16" Type="http://schemas.openxmlformats.org/officeDocument/2006/relationships/hyperlink" Target="https://wam.ae/en/details/1395302832332" TargetMode="External"/><Relationship Id="rId20" Type="http://schemas.openxmlformats.org/officeDocument/2006/relationships/hyperlink" Target="https://treasury.gov.au/coronavirus"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www.mef.gov.it/en/inevidenza/Protect-health-support-the-economy-preserve-employment-levels-and-incomes-00001/" TargetMode="External"/><Relationship Id="rId11" Type="http://schemas.openxmlformats.org/officeDocument/2006/relationships/hyperlink" Target="https://valtioneuvosto.fi/artikkeli/-/asset_publisher/10616/hallitus-antoi-eduskunnalle-lisatalousarvioesityksen-koronaviruksen-vuoksi" TargetMode="External"/><Relationship Id="rId5" Type="http://schemas.openxmlformats.org/officeDocument/2006/relationships/hyperlink" Target="https://www.economie.gouv.fr/coronavirus-soutien-entreprises" TargetMode="External"/><Relationship Id="rId15" Type="http://schemas.openxmlformats.org/officeDocument/2006/relationships/hyperlink" Target="https://prensa.presidencia.cl/comunicado.aspx?id=148684" TargetMode="External"/><Relationship Id="rId23" Type="http://schemas.openxmlformats.org/officeDocument/2006/relationships/printerSettings" Target="../printerSettings/printerSettings1.bin"/><Relationship Id="rId10" Type="http://schemas.openxmlformats.org/officeDocument/2006/relationships/hyperlink" Target="https://virksomhedsguiden.dk/erhvervsfremme/content/temaer/coronavirus_og_din_virksomhed/artikler/garantiordning-for-nye-laan/3b45ceac-2e72-477c-9fe1-e1d119c23b49/" TargetMode="External"/><Relationship Id="rId19" Type="http://schemas.openxmlformats.org/officeDocument/2006/relationships/hyperlink" Target="https://treasury.gov.au/coronavirus" TargetMode="External"/><Relationship Id="rId4" Type="http://schemas.openxmlformats.org/officeDocument/2006/relationships/hyperlink" Target="https://www.canada.ca/en/public-health/services/diseases/coronavirus-disease-covid-19.html" TargetMode="External"/><Relationship Id="rId9" Type="http://schemas.openxmlformats.org/officeDocument/2006/relationships/hyperlink" Target="https://www.gov.uk/government/publications/guidance-to-employers-and-businesses-about-covid-19/covid-19-support-for-businesses" TargetMode="External"/><Relationship Id="rId14" Type="http://schemas.openxmlformats.org/officeDocument/2006/relationships/hyperlink" Target="https://www.lamoncloa.gob.es/consejodeministros/resumenes/Paginas/2020/170320-pg-consejo.aspx" TargetMode="External"/><Relationship Id="rId22"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8" Type="http://schemas.openxmlformats.org/officeDocument/2006/relationships/hyperlink" Target="https://english.moef.go.kr/pc/selectTbPressCenterDtl.do?boardCd=N0001&amp;seq=4860" TargetMode="External"/><Relationship Id="rId13" Type="http://schemas.openxmlformats.org/officeDocument/2006/relationships/hyperlink" Target="https://www.regjeringen.no/en/aktuelt/economic-measures-in-norway-in-response-to-covid-19/id2694274/" TargetMode="External"/><Relationship Id="rId18" Type="http://schemas.openxmlformats.org/officeDocument/2006/relationships/hyperlink" Target="https://virksomhedsguiden.dk/erhvervsfremme/content/temaer/coronavirus_og_din_virksomhed/artikler/udvidet-ret-til-arbejdsgiverrefusionsygedagpenge-til-selvstaendige/2512f642-74bb-478e-9ffa-af2f6aeb321f/" TargetMode="External"/><Relationship Id="rId3" Type="http://schemas.openxmlformats.org/officeDocument/2006/relationships/hyperlink" Target="https://www.mof.gov.sa/en/MediaCenter/news/Pages/News_20032020.aspx" TargetMode="External"/><Relationship Id="rId21" Type="http://schemas.openxmlformats.org/officeDocument/2006/relationships/hyperlink" Target="http://www.governo.it/it/articolo/comunicato-stampa-del-consiglio-dei-ministri-n-39/14417" TargetMode="External"/><Relationship Id="rId7" Type="http://schemas.openxmlformats.org/officeDocument/2006/relationships/hyperlink" Target="https://www.bundesregierung.de/breg-de/themen/coronavirus" TargetMode="External"/><Relationship Id="rId12" Type="http://schemas.openxmlformats.org/officeDocument/2006/relationships/hyperlink" Target="https://www.rijksoverheid.nl/actueel/nieuws/2020/03/17/coronavirus-kabinet-neemt-pakket-nieuwe-maatregelen-voor-banen-en-economie" TargetMode="External"/><Relationship Id="rId17" Type="http://schemas.openxmlformats.org/officeDocument/2006/relationships/hyperlink" Target="https://gulfnews.com/uae/revealed-15-point-economic-stimulus-package-in-abu-dhabi-1.1584340605165" TargetMode="External"/><Relationship Id="rId2" Type="http://schemas.openxmlformats.org/officeDocument/2006/relationships/hyperlink" Target="http://www5.diputados.gob.mx/index.php/esl/Comunicacion/Boletines/2020/Marzo/18/3509-Aprueban-crear-el-Fondo-para-la-Prevencion-y-Atencion-de-Emergencias" TargetMode="External"/><Relationship Id="rId16" Type="http://schemas.openxmlformats.org/officeDocument/2006/relationships/hyperlink" Target="https://wam.ae/en/details/1395302832332" TargetMode="External"/><Relationship Id="rId20" Type="http://schemas.openxmlformats.org/officeDocument/2006/relationships/hyperlink" Target="https://treasury.gov.au/coronavirus"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www.mef.gov.it/en/inevidenza/Protect-health-support-the-economy-preserve-employment-levels-and-incomes-00001/" TargetMode="External"/><Relationship Id="rId11" Type="http://schemas.openxmlformats.org/officeDocument/2006/relationships/hyperlink" Target="https://valtioneuvosto.fi/artikkeli/-/asset_publisher/10616/hallitus-antoi-eduskunnalle-lisatalousarvioesityksen-koronaviruksen-vuoksi" TargetMode="External"/><Relationship Id="rId5" Type="http://schemas.openxmlformats.org/officeDocument/2006/relationships/hyperlink" Target="https://www.economie.gouv.fr/coronavirus-soutien-entreprises" TargetMode="External"/><Relationship Id="rId15" Type="http://schemas.openxmlformats.org/officeDocument/2006/relationships/hyperlink" Target="https://prensa.presidencia.cl/comunicado.aspx?id=148684" TargetMode="External"/><Relationship Id="rId23" Type="http://schemas.openxmlformats.org/officeDocument/2006/relationships/printerSettings" Target="../printerSettings/printerSettings17.bin"/><Relationship Id="rId10" Type="http://schemas.openxmlformats.org/officeDocument/2006/relationships/hyperlink" Target="https://virksomhedsguiden.dk/erhvervsfremme/content/temaer/coronavirus_og_din_virksomhed/artikler/garantiordning-for-nye-laan/3b45ceac-2e72-477c-9fe1-e1d119c23b49/" TargetMode="External"/><Relationship Id="rId19" Type="http://schemas.openxmlformats.org/officeDocument/2006/relationships/hyperlink" Target="https://treasury.gov.au/coronavirus" TargetMode="External"/><Relationship Id="rId4" Type="http://schemas.openxmlformats.org/officeDocument/2006/relationships/hyperlink" Target="https://www.canada.ca/en/public-health/services/diseases/coronavirus-disease-covid-19.html" TargetMode="External"/><Relationship Id="rId9" Type="http://schemas.openxmlformats.org/officeDocument/2006/relationships/hyperlink" Target="https://www.gov.uk/government/publications/guidance-to-employers-and-businesses-about-covid-19/covid-19-support-for-businesses" TargetMode="External"/><Relationship Id="rId14" Type="http://schemas.openxmlformats.org/officeDocument/2006/relationships/hyperlink" Target="https://www.lamoncloa.gob.es/consejodeministros/resumenes/Paginas/2020/170320-pg-consejo.aspx" TargetMode="External"/><Relationship Id="rId22"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rijksoverheid.nl/actueel/nieuws/2020/03/17/coronavirus-kabinet-neemt-pakket-nieuwe-maatregelen-voor-banen-en-economie" TargetMode="External"/><Relationship Id="rId21"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34"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42" Type="http://schemas.openxmlformats.org/officeDocument/2006/relationships/hyperlink" Target="https://www.rijksoverheid.nl/actueel/nieuws/2020/03/17/coronavirus-kabinet-neemt-pakket-nieuwe-maatregelen-voor-banen-en-economie" TargetMode="External"/><Relationship Id="rId47" Type="http://schemas.openxmlformats.org/officeDocument/2006/relationships/hyperlink" Target="https://fm.dk/nyheder/nyhedsarkiv/2020/marts/regeringen-og-alle-folketingets-partier-er-enige-om-omfattende-hjaelpepakke-til-dansk-oekonomi/" TargetMode="External"/><Relationship Id="rId50" Type="http://schemas.openxmlformats.org/officeDocument/2006/relationships/hyperlink" Target="https://www.mof.gov.sa/en/MediaCenter/news/Pages/News_20032020.aspx" TargetMode="External"/><Relationship Id="rId55" Type="http://schemas.openxmlformats.org/officeDocument/2006/relationships/hyperlink" Target="https://www.bundesregierung.de/breg-de/themen/coronavirus" TargetMode="External"/><Relationship Id="rId63" Type="http://schemas.openxmlformats.org/officeDocument/2006/relationships/printerSettings" Target="../printerSettings/printerSettings2.bin"/><Relationship Id="rId7" Type="http://schemas.openxmlformats.org/officeDocument/2006/relationships/hyperlink" Target="https://www.regjeringen.no/en/aktuelt/economic-measures-in-norway-in-response-to-covid-19/id2694274/" TargetMode="External"/><Relationship Id="rId2" Type="http://schemas.openxmlformats.org/officeDocument/2006/relationships/hyperlink" Target="http://www.mef.gov.it/en/inevidenza/Protect-health-support-the-economy-preserve-employment-levels-and-incomes-00001/" TargetMode="External"/><Relationship Id="rId16" Type="http://schemas.openxmlformats.org/officeDocument/2006/relationships/hyperlink" Target="https://fm.dk/nyheder/nyhedsarkiv/2020/marts/regeringen-og-arbejdsmarkedets-parter-styrker-trepartsaftalen-om-midlertidig-loenkompensation/" TargetMode="External"/><Relationship Id="rId29" Type="http://schemas.openxmlformats.org/officeDocument/2006/relationships/hyperlink" Target="https://prensa.presidencia.cl/comunicado.aspx?id=148684" TargetMode="External"/><Relationship Id="rId11" Type="http://schemas.openxmlformats.org/officeDocument/2006/relationships/hyperlink" Target="https://gulfnews.com/uae/revealed-15-point-economic-stimulus-package-in-abu-dhabi-1.1584340605165" TargetMode="External"/><Relationship Id="rId24" Type="http://schemas.openxmlformats.org/officeDocument/2006/relationships/hyperlink" Target="https://www.gov.uk/government/publications/guidance-to-employers-and-businesses-about-covid-19/covid-19-support-for-businesses" TargetMode="External"/><Relationship Id="rId32" Type="http://schemas.openxmlformats.org/officeDocument/2006/relationships/hyperlink" Target="https://treasury.gov.au/coronavirus" TargetMode="External"/><Relationship Id="rId37" Type="http://schemas.openxmlformats.org/officeDocument/2006/relationships/hyperlink" Target="https://www.mof.gov.sa/en/MediaCenter/news/Pages/News_20032020.aspx" TargetMode="External"/><Relationship Id="rId40" Type="http://schemas.openxmlformats.org/officeDocument/2006/relationships/hyperlink" Target="https://english.moef.go.kr/pc/selectTbPressCenterDtl.do?boardCd=N0001&amp;seq=4860" TargetMode="External"/><Relationship Id="rId45" Type="http://schemas.openxmlformats.org/officeDocument/2006/relationships/hyperlink" Target="https://gulfnews.com/uae/revealed-15-point-economic-stimulus-package-in-abu-dhabi-1.1584340605165" TargetMode="External"/><Relationship Id="rId53" Type="http://schemas.openxmlformats.org/officeDocument/2006/relationships/hyperlink" Target="https://www.canada.ca/en/public-health/services/diseases/coronavirus-disease-covid-19.html" TargetMode="External"/><Relationship Id="rId58" Type="http://schemas.openxmlformats.org/officeDocument/2006/relationships/hyperlink" Target="https://www.bundesregierung.de/breg-de/themen/coronavirus" TargetMode="External"/><Relationship Id="rId66" Type="http://schemas.microsoft.com/office/2017/10/relationships/threadedComment" Target="../threadedComments/threadedComment1.xml"/><Relationship Id="rId5" Type="http://schemas.openxmlformats.org/officeDocument/2006/relationships/hyperlink" Target="https://fm.dk/nyheder/nyhedsarkiv/2020/april/regeringen-og-alle-folketingets-partier-er-enige-om-at-justere-og-udvide-hjaelpepakker-til-dansk-oekonomi/" TargetMode="External"/><Relationship Id="rId61" Type="http://schemas.openxmlformats.org/officeDocument/2006/relationships/hyperlink" Target="https://treasury.gov.au/coronavirus" TargetMode="External"/><Relationship Id="rId19" Type="http://schemas.openxmlformats.org/officeDocument/2006/relationships/hyperlink" Target="http://www5.diputados.gob.mx/index.php/esl/Comunicacion/Boletines/2020/Marzo/18/3509-Aprueban-crear-el-Fondo-para-la-Prevencion-y-Atencion-de-Emergencias" TargetMode="External"/><Relationship Id="rId14" Type="http://schemas.openxmlformats.org/officeDocument/2006/relationships/hyperlink" Target="http://www.mef.gov.it/en/inevidenza/Protect-health-support-the-economy-preserve-employment-levels-and-incomes-00001/" TargetMode="External"/><Relationship Id="rId22" Type="http://schemas.openxmlformats.org/officeDocument/2006/relationships/hyperlink" Target="https://pib.gov.in/PressReleseDetail.aspx?PRID=1607911" TargetMode="External"/><Relationship Id="rId27" Type="http://schemas.openxmlformats.org/officeDocument/2006/relationships/hyperlink" Target="https://www.regjeringen.no/en/aktuelt/economic-measures-in-norway-in-response-to-covid-19/id2694274/" TargetMode="External"/><Relationship Id="rId30" Type="http://schemas.openxmlformats.org/officeDocument/2006/relationships/hyperlink" Target="https://gulfnews.com/uae/revealed-15-point-economic-stimulus-package-in-abu-dhabi-1.1584340605165" TargetMode="External"/><Relationship Id="rId35" Type="http://schemas.openxmlformats.org/officeDocument/2006/relationships/hyperlink" Target="http://www5.diputados.gob.mx/index.php/esl/Comunicacion/Boletines/2020/Marzo/18/3509-Aprueban-crear-el-Fondo-para-la-Prevencion-y-Atencion-de-Emergencias" TargetMode="External"/><Relationship Id="rId43" Type="http://schemas.openxmlformats.org/officeDocument/2006/relationships/hyperlink" Target="https://www.regjeringen.no/en/aktuelt/economic-measures-in-norway-in-response-to-covid-19/id2694274/" TargetMode="External"/><Relationship Id="rId48" Type="http://schemas.openxmlformats.org/officeDocument/2006/relationships/hyperlink" Target="https://fm.dk/nyheder/nyhedsarkiv/2020/marts/regeringen-og-arbejdsmarkedets-parter-styrker-trepartsaftalen-om-midlertidig-loenkompensation/" TargetMode="External"/><Relationship Id="rId56" Type="http://schemas.openxmlformats.org/officeDocument/2006/relationships/hyperlink" Target="https://www.canada.ca/en/public-health/services/diseases/coronavirus-disease-covid-19.html" TargetMode="External"/><Relationship Id="rId64" Type="http://schemas.openxmlformats.org/officeDocument/2006/relationships/vmlDrawing" Target="../drawings/vmlDrawing1.vml"/><Relationship Id="rId8" Type="http://schemas.openxmlformats.org/officeDocument/2006/relationships/hyperlink" Target="http://www.governo.it/it/articolo/comunicato-stampa-del-consiglio-dei-ministri-n-39/14417" TargetMode="External"/><Relationship Id="rId51" Type="http://schemas.openxmlformats.org/officeDocument/2006/relationships/hyperlink" Target="https://www.mof.gov.sa/en/MediaCenter/news/Pages/News_20032020.aspx" TargetMode="External"/><Relationship Id="rId3" Type="http://schemas.openxmlformats.org/officeDocument/2006/relationships/hyperlink" Target="https://english.moef.go.kr/pc/selectTbPressCenterDtl.do?boardCd=N0001&amp;seq=4860" TargetMode="External"/><Relationship Id="rId12" Type="http://schemas.openxmlformats.org/officeDocument/2006/relationships/hyperlink" Target="https://treasury.gov.au/coronavirus" TargetMode="External"/><Relationship Id="rId17" Type="http://schemas.openxmlformats.org/officeDocument/2006/relationships/hyperlink" Target="https://fm.dk/nyheder/nyhedsarkiv/2020/marts/regeringen-og-alle-folketingets-partier-er-enige-om-omfattende-hjaelpepakke-til-dansk-oekonomi/" TargetMode="External"/><Relationship Id="rId25" Type="http://schemas.openxmlformats.org/officeDocument/2006/relationships/hyperlink" Target="https://valtioneuvosto.fi/artikkeli/-/asset_publisher/10616/hallitus-antoi-eduskunnalle-lisatalousarvioesityksen-koronaviruksen-vuoksi" TargetMode="External"/><Relationship Id="rId33" Type="http://schemas.openxmlformats.org/officeDocument/2006/relationships/hyperlink" Target="https://www.economie.gouv.fr/coronavirus-soutien-entreprises" TargetMode="External"/><Relationship Id="rId38" Type="http://schemas.openxmlformats.org/officeDocument/2006/relationships/hyperlink" Target="http://www.mef.gov.it/en/inevidenza/Protect-health-support-the-economy-preserve-employment-levels-and-incomes-00001/" TargetMode="External"/><Relationship Id="rId46" Type="http://schemas.openxmlformats.org/officeDocument/2006/relationships/hyperlink" Target="https://fm.dk/nyheder/nyhedsarkiv/2020/april/regeringen-og-alle-folketingets-partier-er-enige-om-at-justere-og-udvide-hjaelpepakker-til-dansk-oekonomi/" TargetMode="External"/><Relationship Id="rId59" Type="http://schemas.openxmlformats.org/officeDocument/2006/relationships/hyperlink" Target="https://www.canada.ca/en/public-health/services/diseases/coronavirus-disease-covid-19.html" TargetMode="External"/><Relationship Id="rId20" Type="http://schemas.openxmlformats.org/officeDocument/2006/relationships/hyperlink" Target="https://gulfnews.com/uae/revealed-15-point-economic-stimulus-package-in-abu-dhabi-1.1584340605165" TargetMode="External"/><Relationship Id="rId41" Type="http://schemas.openxmlformats.org/officeDocument/2006/relationships/hyperlink" Target="https://valtioneuvosto.fi/artikkeli/-/asset_publisher/10616/hallitus-antoi-eduskunnalle-lisatalousarvioesityksen-koronaviruksen-vuoksi" TargetMode="External"/><Relationship Id="rId54" Type="http://schemas.openxmlformats.org/officeDocument/2006/relationships/hyperlink" Target="https://www.economie.gouv.fr/coronavirus-soutien-entreprises" TargetMode="External"/><Relationship Id="rId62" Type="http://schemas.openxmlformats.org/officeDocument/2006/relationships/hyperlink" Target="https://www.lamoncloa.gob.es/consejodeministros/resumenes/Paginas/2020/170320-pg-consejo.aspx"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s://www.rijksoverheid.nl/actueel/nieuws/2020/03/17/coronavirus-kabinet-neemt-pakket-nieuwe-maatregelen-voor-banen-en-economie" TargetMode="External"/><Relationship Id="rId15"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23" Type="http://schemas.openxmlformats.org/officeDocument/2006/relationships/hyperlink" Target="https://english.moef.go.kr/pc/selectTbPressCenterDtl.do?boardCd=N0001&amp;seq=4860" TargetMode="External"/><Relationship Id="rId28" Type="http://schemas.openxmlformats.org/officeDocument/2006/relationships/hyperlink" Target="https://www.lamoncloa.gob.es/consejodeministros/resumenes/Paginas/2020/170320-pg-consejo.aspx" TargetMode="External"/><Relationship Id="rId36" Type="http://schemas.openxmlformats.org/officeDocument/2006/relationships/hyperlink" Target="https://pib.gov.in/PressReleseDetail.aspx?PRID=1607911" TargetMode="External"/><Relationship Id="rId49" Type="http://schemas.openxmlformats.org/officeDocument/2006/relationships/hyperlink" Target="https://www.gov.uk/government/publications/guidance-to-employers-and-businesses-about-covid-19/covid-19-support-for-businesses" TargetMode="External"/><Relationship Id="rId57" Type="http://schemas.openxmlformats.org/officeDocument/2006/relationships/hyperlink" Target="https://www.economie.gouv.fr/coronavirus-soutien-entreprises" TargetMode="External"/><Relationship Id="rId10" Type="http://schemas.openxmlformats.org/officeDocument/2006/relationships/hyperlink" Target="https://wam.ae/en/details/1395302832332" TargetMode="External"/><Relationship Id="rId31" Type="http://schemas.openxmlformats.org/officeDocument/2006/relationships/hyperlink" Target="https://treasury.gov.au/coronavirus" TargetMode="External"/><Relationship Id="rId44" Type="http://schemas.openxmlformats.org/officeDocument/2006/relationships/hyperlink" Target="https://prensa.presidencia.cl/comunicado.aspx?id=148684" TargetMode="External"/><Relationship Id="rId52" Type="http://schemas.openxmlformats.org/officeDocument/2006/relationships/hyperlink" Target="http://www5.diputados.gob.mx/index.php/esl/Comunicacion/Boletines/2020/Marzo/18/3509-Aprueban-crear-el-Fondo-para-la-Prevencion-y-Atencion-de-Emergencias" TargetMode="External"/><Relationship Id="rId60" Type="http://schemas.openxmlformats.org/officeDocument/2006/relationships/hyperlink" Target="https://treasury.gov.au/coronavirus" TargetMode="External"/><Relationship Id="rId65" Type="http://schemas.openxmlformats.org/officeDocument/2006/relationships/comments" Target="../comments1.xml"/><Relationship Id="rId4" Type="http://schemas.openxmlformats.org/officeDocument/2006/relationships/hyperlink" Target="https://www.gov.uk/government/publications/guidance-to-employers-and-businesses-about-covid-19/covid-19-support-for-businesses" TargetMode="External"/><Relationship Id="rId9" Type="http://schemas.openxmlformats.org/officeDocument/2006/relationships/hyperlink" Target="https://prensa.presidencia.cl/comunicado.aspx?id=148684" TargetMode="External"/><Relationship Id="rId13" Type="http://schemas.openxmlformats.org/officeDocument/2006/relationships/hyperlink" Target="https://treasury.gov.au/coronavirus" TargetMode="External"/><Relationship Id="rId18" Type="http://schemas.openxmlformats.org/officeDocument/2006/relationships/hyperlink" Target="https://fm.dk/nyheder/nyhedsarkiv/2020/marts/regeringen-og-alle-folketingets-partier-er-enige-om-omfattende-hjaelpepakke-til-dansk-oekonomi/" TargetMode="External"/><Relationship Id="rId39" Type="http://schemas.openxmlformats.org/officeDocument/2006/relationships/hyperlink" Target="https://www.bundesregierung.de/breg-de/themen/coronaviru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8" Type="http://schemas.openxmlformats.org/officeDocument/2006/relationships/hyperlink" Target="https://english.moef.go.kr/pc/selectTbPressCenterDtl.do?boardCd=N0001&amp;seq=4860" TargetMode="External"/><Relationship Id="rId13" Type="http://schemas.openxmlformats.org/officeDocument/2006/relationships/hyperlink" Target="https://www.regjeringen.no/en/aktuelt/economic-measures-in-norway-in-response-to-covid-19/id2694274/" TargetMode="External"/><Relationship Id="rId18" Type="http://schemas.openxmlformats.org/officeDocument/2006/relationships/hyperlink" Target="https://virksomhedsguiden.dk/erhvervsfremme/content/temaer/coronavirus_og_din_virksomhed/artikler/udvidet-ret-til-arbejdsgiverrefusionsygedagpenge-til-selvstaendige/2512f642-74bb-478e-9ffa-af2f6aeb321f/" TargetMode="External"/><Relationship Id="rId3" Type="http://schemas.openxmlformats.org/officeDocument/2006/relationships/hyperlink" Target="https://www.mof.gov.sa/en/MediaCenter/news/Pages/News_20032020.aspx" TargetMode="External"/><Relationship Id="rId21" Type="http://schemas.openxmlformats.org/officeDocument/2006/relationships/hyperlink" Target="http://www.governo.it/it/articolo/comunicato-stampa-del-consiglio-dei-ministri-n-39/14417" TargetMode="External"/><Relationship Id="rId7" Type="http://schemas.openxmlformats.org/officeDocument/2006/relationships/hyperlink" Target="https://www.bundesregierung.de/breg-de/themen/coronavirus" TargetMode="External"/><Relationship Id="rId12" Type="http://schemas.openxmlformats.org/officeDocument/2006/relationships/hyperlink" Target="https://www.rijksoverheid.nl/actueel/nieuws/2020/03/17/coronavirus-kabinet-neemt-pakket-nieuwe-maatregelen-voor-banen-en-economie" TargetMode="External"/><Relationship Id="rId17" Type="http://schemas.openxmlformats.org/officeDocument/2006/relationships/hyperlink" Target="https://gulfnews.com/uae/revealed-15-point-economic-stimulus-package-in-abu-dhabi-1.1584340605165" TargetMode="External"/><Relationship Id="rId2" Type="http://schemas.openxmlformats.org/officeDocument/2006/relationships/hyperlink" Target="http://www5.diputados.gob.mx/index.php/esl/Comunicacion/Boletines/2020/Marzo/18/3509-Aprueban-crear-el-Fondo-para-la-Prevencion-y-Atencion-de-Emergencias" TargetMode="External"/><Relationship Id="rId16" Type="http://schemas.openxmlformats.org/officeDocument/2006/relationships/hyperlink" Target="https://wam.ae/en/details/1395302832332" TargetMode="External"/><Relationship Id="rId20" Type="http://schemas.openxmlformats.org/officeDocument/2006/relationships/hyperlink" Target="https://treasury.gov.au/coronavirus"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www.mef.gov.it/en/inevidenza/Protect-health-support-the-economy-preserve-employment-levels-and-incomes-00001/" TargetMode="External"/><Relationship Id="rId11" Type="http://schemas.openxmlformats.org/officeDocument/2006/relationships/hyperlink" Target="https://valtioneuvosto.fi/artikkeli/-/asset_publisher/10616/hallitus-antoi-eduskunnalle-lisatalousarvioesityksen-koronaviruksen-vuoksi" TargetMode="External"/><Relationship Id="rId5" Type="http://schemas.openxmlformats.org/officeDocument/2006/relationships/hyperlink" Target="https://www.economie.gouv.fr/coronavirus-soutien-entreprises" TargetMode="External"/><Relationship Id="rId15" Type="http://schemas.openxmlformats.org/officeDocument/2006/relationships/hyperlink" Target="https://prensa.presidencia.cl/comunicado.aspx?id=148684" TargetMode="External"/><Relationship Id="rId23" Type="http://schemas.openxmlformats.org/officeDocument/2006/relationships/printerSettings" Target="../printerSettings/printerSettings21.bin"/><Relationship Id="rId10" Type="http://schemas.openxmlformats.org/officeDocument/2006/relationships/hyperlink" Target="https://virksomhedsguiden.dk/erhvervsfremme/content/temaer/coronavirus_og_din_virksomhed/artikler/garantiordning-for-nye-laan/3b45ceac-2e72-477c-9fe1-e1d119c23b49/" TargetMode="External"/><Relationship Id="rId19" Type="http://schemas.openxmlformats.org/officeDocument/2006/relationships/hyperlink" Target="https://treasury.gov.au/coronavirus" TargetMode="External"/><Relationship Id="rId4" Type="http://schemas.openxmlformats.org/officeDocument/2006/relationships/hyperlink" Target="https://www.canada.ca/en/public-health/services/diseases/coronavirus-disease-covid-19.html" TargetMode="External"/><Relationship Id="rId9" Type="http://schemas.openxmlformats.org/officeDocument/2006/relationships/hyperlink" Target="https://www.gov.uk/government/publications/guidance-to-employers-and-businesses-about-covid-19/covid-19-support-for-businesses" TargetMode="External"/><Relationship Id="rId14" Type="http://schemas.openxmlformats.org/officeDocument/2006/relationships/hyperlink" Target="https://www.lamoncloa.gob.es/consejodeministros/resumenes/Paginas/2020/170320-pg-consejo.aspx" TargetMode="External"/><Relationship Id="rId22"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overnment/publications/guidance-to-employers-and-businesses-about-covid-19/covid-19-support-for-businesses" TargetMode="External"/><Relationship Id="rId13" Type="http://schemas.openxmlformats.org/officeDocument/2006/relationships/hyperlink" Target="https://prensa.presidencia.cl/comunicado.aspx?id=148684" TargetMode="External"/><Relationship Id="rId18" Type="http://schemas.openxmlformats.org/officeDocument/2006/relationships/hyperlink" Target="http://www.governo.it/it/articolo/comunicato-stampa-del-consiglio-dei-ministri-n-39/14417" TargetMode="External"/><Relationship Id="rId3" Type="http://schemas.openxmlformats.org/officeDocument/2006/relationships/hyperlink" Target="https://www.canada.ca/en/public-health/services/diseases/coronavirus-disease-covid-19.html" TargetMode="External"/><Relationship Id="rId21" Type="http://schemas.openxmlformats.org/officeDocument/2006/relationships/hyperlink" Target="https://fm.dk/nyheder/nyhedsarkiv/2020/marts/regeringen-og-alle-folketingets-partier-er-enige-om-omfattende-hjaelpepakke-til-dansk-oekonomi/" TargetMode="External"/><Relationship Id="rId7" Type="http://schemas.openxmlformats.org/officeDocument/2006/relationships/hyperlink" Target="https://english.moef.go.kr/pc/selectTbPressCenterDtl.do?boardCd=N0001&amp;seq=4860" TargetMode="External"/><Relationship Id="rId12" Type="http://schemas.openxmlformats.org/officeDocument/2006/relationships/hyperlink" Target="https://www.lamoncloa.gob.es/consejodeministros/resumenes/Paginas/2020/170320-pg-consejo.aspx" TargetMode="External"/><Relationship Id="rId17" Type="http://schemas.openxmlformats.org/officeDocument/2006/relationships/hyperlink" Target="https://treasury.gov.au/coronavirus" TargetMode="External"/><Relationship Id="rId2" Type="http://schemas.openxmlformats.org/officeDocument/2006/relationships/hyperlink" Target="https://www.mof.gov.sa/en/MediaCenter/news/Pages/News_20032020.aspx" TargetMode="External"/><Relationship Id="rId16" Type="http://schemas.openxmlformats.org/officeDocument/2006/relationships/hyperlink" Target="https://treasury.gov.au/coronavirus" TargetMode="External"/><Relationship Id="rId20" Type="http://schemas.openxmlformats.org/officeDocument/2006/relationships/hyperlink" Target="https://fm.dk/nyheder/nyhedsarkiv/2020/april/regeringen-og-alle-folketingets-partier-er-enige-om-at-justere-og-udvide-hjaelpepakker-til-dansk-oekonomi/"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s://www.bundesregierung.de/breg-de/themen/coronavirus" TargetMode="External"/><Relationship Id="rId11" Type="http://schemas.openxmlformats.org/officeDocument/2006/relationships/hyperlink" Target="https://www.regjeringen.no/en/aktuelt/economic-measures-in-norway-in-response-to-covid-19/id2694274/" TargetMode="External"/><Relationship Id="rId24" Type="http://schemas.openxmlformats.org/officeDocument/2006/relationships/printerSettings" Target="../printerSettings/printerSettings3.bin"/><Relationship Id="rId5" Type="http://schemas.openxmlformats.org/officeDocument/2006/relationships/hyperlink" Target="http://www.mef.gov.it/en/inevidenza/Protect-health-support-the-economy-preserve-employment-levels-and-incomes-00001/" TargetMode="External"/><Relationship Id="rId15" Type="http://schemas.openxmlformats.org/officeDocument/2006/relationships/hyperlink" Target="https://gulfnews.com/uae/revealed-15-point-economic-stimulus-package-in-abu-dhabi-1.1584340605165" TargetMode="External"/><Relationship Id="rId23" Type="http://schemas.openxmlformats.org/officeDocument/2006/relationships/hyperlink" Target="http://www5.diputados.gob.mx/index.php/esl/Comunicacion/Boletines/2020/Marzo/18/3509-Aprueban-crear-el-Fondo-para-la-Prevencion-y-Atencion-de-Emergencias" TargetMode="External"/><Relationship Id="rId10" Type="http://schemas.openxmlformats.org/officeDocument/2006/relationships/hyperlink" Target="https://www.rijksoverheid.nl/actueel/nieuws/2020/03/17/coronavirus-kabinet-neemt-pakket-nieuwe-maatregelen-voor-banen-en-economie" TargetMode="External"/><Relationship Id="rId19"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4" Type="http://schemas.openxmlformats.org/officeDocument/2006/relationships/hyperlink" Target="https://www.economie.gouv.fr/coronavirus-soutien-entreprises" TargetMode="External"/><Relationship Id="rId9" Type="http://schemas.openxmlformats.org/officeDocument/2006/relationships/hyperlink" Target="https://valtioneuvosto.fi/artikkeli/-/asset_publisher/10616/hallitus-antoi-eduskunnalle-lisatalousarvioesityksen-koronaviruksen-vuoksi" TargetMode="External"/><Relationship Id="rId14" Type="http://schemas.openxmlformats.org/officeDocument/2006/relationships/hyperlink" Target="https://wam.ae/en/details/1395302832332" TargetMode="External"/><Relationship Id="rId22" Type="http://schemas.openxmlformats.org/officeDocument/2006/relationships/hyperlink" Target="https://fm.dk/nyheder/nyhedsarkiv/2020/marts/regeringen-og-arbejdsmarkedets-parter-styrker-trepartsaftalen-om-midlertidig-loenkompensati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guidance-to-employers-and-businesses-about-covid-19/covid-19-support-for-businesses" TargetMode="External"/><Relationship Id="rId13" Type="http://schemas.openxmlformats.org/officeDocument/2006/relationships/hyperlink" Target="https://prensa.presidencia.cl/comunicado.aspx?id=148684" TargetMode="External"/><Relationship Id="rId18" Type="http://schemas.openxmlformats.org/officeDocument/2006/relationships/hyperlink" Target="http://www.governo.it/it/articolo/comunicato-stampa-del-consiglio-dei-ministri-n-39/14417" TargetMode="External"/><Relationship Id="rId3" Type="http://schemas.openxmlformats.org/officeDocument/2006/relationships/hyperlink" Target="https://www.canada.ca/en/public-health/services/diseases/coronavirus-disease-covid-19.html" TargetMode="External"/><Relationship Id="rId21" Type="http://schemas.openxmlformats.org/officeDocument/2006/relationships/hyperlink" Target="https://fm.dk/nyheder/nyhedsarkiv/2020/marts/regeringen-og-alle-folketingets-partier-er-enige-om-omfattende-hjaelpepakke-til-dansk-oekonomi/" TargetMode="External"/><Relationship Id="rId7" Type="http://schemas.openxmlformats.org/officeDocument/2006/relationships/hyperlink" Target="https://english.moef.go.kr/pc/selectTbPressCenterDtl.do?boardCd=N0001&amp;seq=4860" TargetMode="External"/><Relationship Id="rId12" Type="http://schemas.openxmlformats.org/officeDocument/2006/relationships/hyperlink" Target="https://www.lamoncloa.gob.es/consejodeministros/resumenes/Paginas/2020/170320-pg-consejo.aspx" TargetMode="External"/><Relationship Id="rId17" Type="http://schemas.openxmlformats.org/officeDocument/2006/relationships/hyperlink" Target="https://treasury.gov.au/coronavirus" TargetMode="External"/><Relationship Id="rId2" Type="http://schemas.openxmlformats.org/officeDocument/2006/relationships/hyperlink" Target="https://www.mof.gov.sa/en/MediaCenter/news/Pages/News_20032020.aspx" TargetMode="External"/><Relationship Id="rId16" Type="http://schemas.openxmlformats.org/officeDocument/2006/relationships/hyperlink" Target="https://treasury.gov.au/coronavirus" TargetMode="External"/><Relationship Id="rId20" Type="http://schemas.openxmlformats.org/officeDocument/2006/relationships/hyperlink" Target="https://fm.dk/nyheder/nyhedsarkiv/2020/april/regeringen-og-alle-folketingets-partier-er-enige-om-at-justere-og-udvide-hjaelpepakker-til-dansk-oekonomi/"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s://www.bundesregierung.de/breg-de/themen/coronavirus" TargetMode="External"/><Relationship Id="rId11" Type="http://schemas.openxmlformats.org/officeDocument/2006/relationships/hyperlink" Target="https://www.regjeringen.no/en/aktuelt/economic-measures-in-norway-in-response-to-covid-19/id2694274/" TargetMode="External"/><Relationship Id="rId24" Type="http://schemas.openxmlformats.org/officeDocument/2006/relationships/printerSettings" Target="../printerSettings/printerSettings4.bin"/><Relationship Id="rId5" Type="http://schemas.openxmlformats.org/officeDocument/2006/relationships/hyperlink" Target="http://www.mef.gov.it/en/inevidenza/Protect-health-support-the-economy-preserve-employment-levels-and-incomes-00001/" TargetMode="External"/><Relationship Id="rId15" Type="http://schemas.openxmlformats.org/officeDocument/2006/relationships/hyperlink" Target="https://gulfnews.com/uae/revealed-15-point-economic-stimulus-package-in-abu-dhabi-1.1584340605165" TargetMode="External"/><Relationship Id="rId23" Type="http://schemas.openxmlformats.org/officeDocument/2006/relationships/hyperlink" Target="http://www5.diputados.gob.mx/index.php/esl/Comunicacion/Boletines/2020/Marzo/18/3509-Aprueban-crear-el-Fondo-para-la-Prevencion-y-Atencion-de-Emergencias" TargetMode="External"/><Relationship Id="rId10" Type="http://schemas.openxmlformats.org/officeDocument/2006/relationships/hyperlink" Target="https://www.rijksoverheid.nl/actueel/nieuws/2020/03/17/coronavirus-kabinet-neemt-pakket-nieuwe-maatregelen-voor-banen-en-economie" TargetMode="External"/><Relationship Id="rId19"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4" Type="http://schemas.openxmlformats.org/officeDocument/2006/relationships/hyperlink" Target="https://www.economie.gouv.fr/coronavirus-soutien-entreprises" TargetMode="External"/><Relationship Id="rId9" Type="http://schemas.openxmlformats.org/officeDocument/2006/relationships/hyperlink" Target="https://valtioneuvosto.fi/artikkeli/-/asset_publisher/10616/hallitus-antoi-eduskunnalle-lisatalousarvioesityksen-koronaviruksen-vuoksi" TargetMode="External"/><Relationship Id="rId14" Type="http://schemas.openxmlformats.org/officeDocument/2006/relationships/hyperlink" Target="https://wam.ae/en/details/1395302832332" TargetMode="External"/><Relationship Id="rId22" Type="http://schemas.openxmlformats.org/officeDocument/2006/relationships/hyperlink" Target="https://fm.dk/nyheder/nyhedsarkiv/2020/marts/regeringen-og-arbejdsmarkedets-parter-styrker-trepartsaftalen-om-midlertidig-loenkompens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6" Type="http://schemas.openxmlformats.org/officeDocument/2006/relationships/hyperlink" Target="https://pib.gov.in/PressReleseDetail.aspx?PRID=1607911" TargetMode="External"/><Relationship Id="rId21" Type="http://schemas.openxmlformats.org/officeDocument/2006/relationships/hyperlink" Target="https://fm.dk/nyheder/nyhedsarkiv/2020/marts/regeringen-og-alle-folketingets-partier-er-enige-om-omfattende-hjaelpepakke-til-dansk-oekonomi/" TargetMode="External"/><Relationship Id="rId34" Type="http://schemas.openxmlformats.org/officeDocument/2006/relationships/hyperlink" Target="https://www.rijksoverheid.nl/actueel/nieuws/2020/03/17/coronavirus-kabinet-neemt-pakket-nieuwe-maatregelen-voor-banen-en-economie" TargetMode="External"/><Relationship Id="rId42"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47" Type="http://schemas.openxmlformats.org/officeDocument/2006/relationships/hyperlink" Target="http://www.mef.gov.it/en/inevidenza/Protect-health-support-the-economy-preserve-employment-levels-and-incomes-00001/" TargetMode="External"/><Relationship Id="rId50" Type="http://schemas.openxmlformats.org/officeDocument/2006/relationships/hyperlink" Target="https://www.gov.uk/government/publications/guidance-to-employers-and-businesses-about-covid-19/covid-19-support-for-businesses" TargetMode="External"/><Relationship Id="rId55" Type="http://schemas.openxmlformats.org/officeDocument/2006/relationships/hyperlink" Target="https://prensa.presidencia.cl/comunicado.aspx?id=148684" TargetMode="External"/><Relationship Id="rId63" Type="http://schemas.openxmlformats.org/officeDocument/2006/relationships/printerSettings" Target="../printerSettings/printerSettings8.bin"/><Relationship Id="rId7" Type="http://schemas.openxmlformats.org/officeDocument/2006/relationships/hyperlink" Target="https://english.moef.go.kr/pc/selectTbPressCenterDtl.do?boardCd=N0001&amp;seq=4860" TargetMode="External"/><Relationship Id="rId2" Type="http://schemas.openxmlformats.org/officeDocument/2006/relationships/hyperlink" Target="https://www.mof.gov.sa/en/MediaCenter/news/Pages/News_20032020.aspx" TargetMode="External"/><Relationship Id="rId16" Type="http://schemas.openxmlformats.org/officeDocument/2006/relationships/hyperlink" Target="https://treasury.gov.au/coronavirus" TargetMode="External"/><Relationship Id="rId29" Type="http://schemas.openxmlformats.org/officeDocument/2006/relationships/hyperlink" Target="https://www.economie.gouv.fr/coronavirus-soutien-entreprises" TargetMode="External"/><Relationship Id="rId11" Type="http://schemas.openxmlformats.org/officeDocument/2006/relationships/hyperlink" Target="https://www.regjeringen.no/en/aktuelt/economic-measures-in-norway-in-response-to-covid-19/id2694274/" TargetMode="External"/><Relationship Id="rId24" Type="http://schemas.openxmlformats.org/officeDocument/2006/relationships/hyperlink" Target="https://gulfnews.com/uae/revealed-15-point-economic-stimulus-package-in-abu-dhabi-1.1584340605165" TargetMode="External"/><Relationship Id="rId32" Type="http://schemas.openxmlformats.org/officeDocument/2006/relationships/hyperlink" Target="https://www.gov.uk/government/publications/guidance-to-employers-and-businesses-about-covid-19/covid-19-support-for-businesses" TargetMode="External"/><Relationship Id="rId37" Type="http://schemas.openxmlformats.org/officeDocument/2006/relationships/hyperlink" Target="https://prensa.presidencia.cl/comunicado.aspx?id=148684" TargetMode="External"/><Relationship Id="rId40" Type="http://schemas.openxmlformats.org/officeDocument/2006/relationships/hyperlink" Target="https://treasury.gov.au/coronavirus" TargetMode="External"/><Relationship Id="rId45" Type="http://schemas.openxmlformats.org/officeDocument/2006/relationships/hyperlink" Target="https://www.mof.gov.sa/en/MediaCenter/news/Pages/News_20032020.aspx" TargetMode="External"/><Relationship Id="rId53" Type="http://schemas.openxmlformats.org/officeDocument/2006/relationships/hyperlink" Target="https://www.regjeringen.no/en/aktuelt/economic-measures-in-norway-in-response-to-covid-19/id2694274/" TargetMode="External"/><Relationship Id="rId58" Type="http://schemas.openxmlformats.org/officeDocument/2006/relationships/hyperlink" Target="https://treasury.gov.au/coronavirus" TargetMode="External"/><Relationship Id="rId66" Type="http://schemas.microsoft.com/office/2017/10/relationships/threadedComment" Target="../threadedComments/threadedComment2.xml"/><Relationship Id="rId5" Type="http://schemas.openxmlformats.org/officeDocument/2006/relationships/hyperlink" Target="http://www.mef.gov.it/en/inevidenza/Protect-health-support-the-economy-preserve-employment-levels-and-incomes-00001/" TargetMode="External"/><Relationship Id="rId61" Type="http://schemas.openxmlformats.org/officeDocument/2006/relationships/hyperlink" Target="https://fm.dk/nyheder/nyhedsarkiv/2020/marts/regeringen-og-arbejdsmarkedets-parter-styrker-trepartsaftalen-om-midlertidig-loenkompensation/" TargetMode="External"/><Relationship Id="rId19"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14" Type="http://schemas.openxmlformats.org/officeDocument/2006/relationships/hyperlink" Target="https://wam.ae/en/details/1395302832332" TargetMode="External"/><Relationship Id="rId22" Type="http://schemas.openxmlformats.org/officeDocument/2006/relationships/hyperlink" Target="https://fm.dk/nyheder/nyhedsarkiv/2020/marts/regeringen-og-alle-folketingets-partier-er-enige-om-omfattende-hjaelpepakke-til-dansk-oekonomi/" TargetMode="External"/><Relationship Id="rId27" Type="http://schemas.openxmlformats.org/officeDocument/2006/relationships/hyperlink" Target="https://www.mof.gov.sa/en/MediaCenter/news/Pages/News_20032020.aspx" TargetMode="External"/><Relationship Id="rId30" Type="http://schemas.openxmlformats.org/officeDocument/2006/relationships/hyperlink" Target="https://www.bundesregierung.de/breg-de/themen/coronavirus" TargetMode="External"/><Relationship Id="rId35" Type="http://schemas.openxmlformats.org/officeDocument/2006/relationships/hyperlink" Target="https://www.regjeringen.no/en/aktuelt/economic-measures-in-norway-in-response-to-covid-19/id2694274/" TargetMode="External"/><Relationship Id="rId43" Type="http://schemas.openxmlformats.org/officeDocument/2006/relationships/hyperlink" Target="http://www5.diputados.gob.mx/index.php/esl/Comunicacion/Boletines/2020/Marzo/18/3509-Aprueban-crear-el-Fondo-para-la-Prevencion-y-Atencion-de-Emergencias" TargetMode="External"/><Relationship Id="rId48" Type="http://schemas.openxmlformats.org/officeDocument/2006/relationships/hyperlink" Target="https://www.bundesregierung.de/breg-de/themen/coronavirus" TargetMode="External"/><Relationship Id="rId56" Type="http://schemas.openxmlformats.org/officeDocument/2006/relationships/hyperlink" Target="https://gulfnews.com/uae/revealed-15-point-economic-stimulus-package-in-abu-dhabi-1.1584340605165" TargetMode="External"/><Relationship Id="rId64" Type="http://schemas.openxmlformats.org/officeDocument/2006/relationships/vmlDrawing" Target="../drawings/vmlDrawing2.vml"/><Relationship Id="rId8" Type="http://schemas.openxmlformats.org/officeDocument/2006/relationships/hyperlink" Target="https://www.gov.uk/government/publications/guidance-to-employers-and-businesses-about-covid-19/covid-19-support-for-businesses" TargetMode="External"/><Relationship Id="rId51" Type="http://schemas.openxmlformats.org/officeDocument/2006/relationships/hyperlink" Target="https://valtioneuvosto.fi/artikkeli/-/asset_publisher/10616/hallitus-antoi-eduskunnalle-lisatalousarvioesityksen-koronaviruksen-vuoksi" TargetMode="External"/><Relationship Id="rId3" Type="http://schemas.openxmlformats.org/officeDocument/2006/relationships/hyperlink" Target="https://www.canada.ca/en/public-health/services/diseases/coronavirus-disease-covid-19.html" TargetMode="External"/><Relationship Id="rId12" Type="http://schemas.openxmlformats.org/officeDocument/2006/relationships/hyperlink" Target="http://www.governo.it/it/articolo/comunicato-stampa-del-consiglio-dei-ministri-n-39/14417" TargetMode="External"/><Relationship Id="rId17" Type="http://schemas.openxmlformats.org/officeDocument/2006/relationships/hyperlink" Target="https://treasury.gov.au/coronavirus" TargetMode="External"/><Relationship Id="rId25" Type="http://schemas.openxmlformats.org/officeDocument/2006/relationships/hyperlink" Target="https://urldefense.proofpoint.com/v2/url?u=https-3A__www.gov.pl_web_tarczaantykryzysowa&amp;d=DwMFBA&amp;c=G8CoXqdZ57E1EOn2t2CVrg&amp;r=1dNmfCwUPm-Zyfp8PIjgpWCvO5QO5p2LM0QGFAzgPvI&amp;m=nz2rsJenFWhU9KRBhOJ8maK12Et9Tar9PrzSGpsIzBw&amp;s=CAY3fc6DLo3KDD4wEX63BZhcse8VIq2LHFGPVw4INzI&amp;e=" TargetMode="External"/><Relationship Id="rId33" Type="http://schemas.openxmlformats.org/officeDocument/2006/relationships/hyperlink" Target="https://valtioneuvosto.fi/artikkeli/-/asset_publisher/10616/hallitus-antoi-eduskunnalle-lisatalousarvioesityksen-koronaviruksen-vuoksi" TargetMode="External"/><Relationship Id="rId38" Type="http://schemas.openxmlformats.org/officeDocument/2006/relationships/hyperlink" Target="https://gulfnews.com/uae/revealed-15-point-economic-stimulus-package-in-abu-dhabi-1.1584340605165" TargetMode="External"/><Relationship Id="rId46" Type="http://schemas.openxmlformats.org/officeDocument/2006/relationships/hyperlink" Target="https://www.canada.ca/en/public-health/services/diseases/coronavirus-disease-covid-19.html" TargetMode="External"/><Relationship Id="rId59" Type="http://schemas.openxmlformats.org/officeDocument/2006/relationships/hyperlink" Target="https://fm.dk/nyheder/nyhedsarkiv/2020/april/regeringen-og-alle-folketingets-partier-er-enige-om-at-justere-og-udvide-hjaelpepakker-til-dansk-oekonomi/" TargetMode="External"/><Relationship Id="rId20" Type="http://schemas.openxmlformats.org/officeDocument/2006/relationships/hyperlink" Target="https://fm.dk/nyheder/nyhedsarkiv/2020/marts/regeringen-og-arbejdsmarkedets-parter-styrker-trepartsaftalen-om-midlertidig-loenkompensation/" TargetMode="External"/><Relationship Id="rId41" Type="http://schemas.openxmlformats.org/officeDocument/2006/relationships/hyperlink" Target="https://www.economie.gouv.fr/coronavirus-soutien-entreprises" TargetMode="External"/><Relationship Id="rId54" Type="http://schemas.openxmlformats.org/officeDocument/2006/relationships/hyperlink" Target="https://www.lamoncloa.gob.es/consejodeministros/resumenes/Paginas/2020/170320-pg-consejo.aspx" TargetMode="External"/><Relationship Id="rId62" Type="http://schemas.openxmlformats.org/officeDocument/2006/relationships/hyperlink" Target="http://www5.diputados.gob.mx/index.php/esl/Comunicacion/Boletines/2020/Marzo/18/3509-Aprueban-crear-el-Fondo-para-la-Prevencion-y-Atencion-de-Emergencias" TargetMode="External"/><Relationship Id="rId1" Type="http://schemas.openxmlformats.org/officeDocument/2006/relationships/hyperlink" Target="https://pib.gov.in/PressReleseDetail.aspx?PRID=1607911" TargetMode="External"/><Relationship Id="rId6" Type="http://schemas.openxmlformats.org/officeDocument/2006/relationships/hyperlink" Target="https://www.bundesregierung.de/breg-de/themen/coronavirus" TargetMode="External"/><Relationship Id="rId15" Type="http://schemas.openxmlformats.org/officeDocument/2006/relationships/hyperlink" Target="https://gulfnews.com/uae/revealed-15-point-economic-stimulus-package-in-abu-dhabi-1.1584340605165" TargetMode="External"/><Relationship Id="rId23" Type="http://schemas.openxmlformats.org/officeDocument/2006/relationships/hyperlink" Target="http://www5.diputados.gob.mx/index.php/esl/Comunicacion/Boletines/2020/Marzo/18/3509-Aprueban-crear-el-Fondo-para-la-Prevencion-y-Atencion-de-Emergencias" TargetMode="External"/><Relationship Id="rId28" Type="http://schemas.openxmlformats.org/officeDocument/2006/relationships/hyperlink" Target="https://www.canada.ca/en/public-health/services/diseases/coronavirus-disease-covid-19.html" TargetMode="External"/><Relationship Id="rId36" Type="http://schemas.openxmlformats.org/officeDocument/2006/relationships/hyperlink" Target="https://www.lamoncloa.gob.es/consejodeministros/resumenes/Paginas/2020/170320-pg-consejo.aspx" TargetMode="External"/><Relationship Id="rId49" Type="http://schemas.openxmlformats.org/officeDocument/2006/relationships/hyperlink" Target="https://english.moef.go.kr/pc/selectTbPressCenterDtl.do?boardCd=N0001&amp;seq=4860" TargetMode="External"/><Relationship Id="rId57" Type="http://schemas.openxmlformats.org/officeDocument/2006/relationships/hyperlink" Target="https://treasury.gov.au/coronavirus" TargetMode="External"/><Relationship Id="rId10" Type="http://schemas.openxmlformats.org/officeDocument/2006/relationships/hyperlink" Target="https://www.rijksoverheid.nl/actueel/nieuws/2020/03/17/coronavirus-kabinet-neemt-pakket-nieuwe-maatregelen-voor-banen-en-economie" TargetMode="External"/><Relationship Id="rId31" Type="http://schemas.openxmlformats.org/officeDocument/2006/relationships/hyperlink" Target="https://english.moef.go.kr/pc/selectTbPressCenterDtl.do?boardCd=N0001&amp;seq=4860" TargetMode="External"/><Relationship Id="rId44" Type="http://schemas.openxmlformats.org/officeDocument/2006/relationships/hyperlink" Target="https://pib.gov.in/PressReleseDetail.aspx?PRID=1607911" TargetMode="External"/><Relationship Id="rId52" Type="http://schemas.openxmlformats.org/officeDocument/2006/relationships/hyperlink" Target="https://www.rijksoverheid.nl/actueel/nieuws/2020/03/17/coronavirus-kabinet-neemt-pakket-nieuwe-maatregelen-voor-banen-en-economie" TargetMode="External"/><Relationship Id="rId60" Type="http://schemas.openxmlformats.org/officeDocument/2006/relationships/hyperlink" Target="https://fm.dk/nyheder/nyhedsarkiv/2020/marts/regeringen-og-alle-folketingets-partier-er-enige-om-omfattende-hjaelpepakke-til-dansk-oekonomi/" TargetMode="External"/><Relationship Id="rId65" Type="http://schemas.openxmlformats.org/officeDocument/2006/relationships/comments" Target="../comments2.xml"/><Relationship Id="rId4" Type="http://schemas.openxmlformats.org/officeDocument/2006/relationships/hyperlink" Target="https://www.economie.gouv.fr/coronavirus-soutien-entreprises" TargetMode="External"/><Relationship Id="rId9" Type="http://schemas.openxmlformats.org/officeDocument/2006/relationships/hyperlink" Target="https://fm.dk/nyheder/nyhedsarkiv/2020/april/regeringen-og-alle-folketingets-partier-er-enige-om-at-justere-og-udvide-hjaelpepakker-til-dansk-oekonomi/" TargetMode="External"/><Relationship Id="rId13" Type="http://schemas.openxmlformats.org/officeDocument/2006/relationships/hyperlink" Target="https://prensa.presidencia.cl/comunicado.aspx?id=148684" TargetMode="External"/><Relationship Id="rId18" Type="http://schemas.openxmlformats.org/officeDocument/2006/relationships/hyperlink" Target="http://www.mef.gov.it/en/inevidenza/Protect-health-support-the-economy-preserve-employment-levels-and-incomes-00001/" TargetMode="External"/><Relationship Id="rId39" Type="http://schemas.openxmlformats.org/officeDocument/2006/relationships/hyperlink" Target="https://treasury.gov.au/coronavir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5F6E-276F-405C-834B-B89E55134B81}">
  <sheetPr>
    <tabColor rgb="FFFF0000"/>
    <pageSetUpPr fitToPage="1"/>
  </sheetPr>
  <dimension ref="A2:V149"/>
  <sheetViews>
    <sheetView view="pageBreakPreview" topLeftCell="A65" zoomScale="70" zoomScaleNormal="100" zoomScaleSheetLayoutView="70" workbookViewId="0">
      <selection activeCell="H54" sqref="H54:H56"/>
    </sheetView>
  </sheetViews>
  <sheetFormatPr defaultColWidth="8.54296875" defaultRowHeight="12.5" outlineLevelCol="1"/>
  <cols>
    <col min="1" max="1" width="14.453125" style="42" customWidth="1"/>
    <col min="2" max="2" width="1.453125" style="55" customWidth="1"/>
    <col min="3" max="3" width="4" style="35" bestFit="1" customWidth="1"/>
    <col min="4" max="4" width="11.453125" style="70" bestFit="1" customWidth="1"/>
    <col min="5" max="5" width="8.453125" style="33" hidden="1" customWidth="1" outlineLevel="1"/>
    <col min="6" max="6" width="32.54296875" style="40" customWidth="1" collapsed="1"/>
    <col min="7" max="7" width="9.1796875" style="40" hidden="1" customWidth="1" outlineLevel="1"/>
    <col min="8" max="8" width="54.81640625" style="35" customWidth="1" collapsed="1"/>
    <col min="9" max="9" width="1.453125" style="40" customWidth="1"/>
    <col min="10" max="10" width="4" style="35" bestFit="1" customWidth="1"/>
    <col min="11" max="11" width="14.54296875" style="40" hidden="1" customWidth="1" outlineLevel="1"/>
    <col min="12" max="12" width="10.453125" style="71" bestFit="1" customWidth="1" collapsed="1"/>
    <col min="13" max="13" width="38.54296875" style="35" customWidth="1"/>
    <col min="14" max="14" width="1.453125" style="55" customWidth="1"/>
    <col min="15" max="15" width="4" style="35" bestFit="1" customWidth="1"/>
    <col min="16" max="16" width="10.453125" style="70" customWidth="1"/>
    <col min="17" max="17" width="38.453125" style="35" customWidth="1"/>
    <col min="18" max="18" width="1.54296875" style="40" customWidth="1"/>
    <col min="19" max="19" width="38" style="35" customWidth="1"/>
    <col min="20" max="20" width="2.54296875" style="40" customWidth="1"/>
    <col min="21" max="21" width="52.453125" style="10" customWidth="1"/>
    <col min="22" max="22" width="31.453125" style="33" customWidth="1"/>
    <col min="23" max="16384" width="8.54296875" style="33"/>
  </cols>
  <sheetData>
    <row r="2" spans="1:22">
      <c r="F2" s="55"/>
      <c r="G2" s="55"/>
      <c r="I2" s="55"/>
      <c r="K2" s="55"/>
      <c r="R2" s="55"/>
      <c r="T2" s="55"/>
      <c r="U2" s="84"/>
    </row>
    <row r="3" spans="1:22" ht="23">
      <c r="A3" s="127" t="s">
        <v>125</v>
      </c>
      <c r="F3" s="55"/>
      <c r="G3" s="55"/>
      <c r="I3" s="55"/>
      <c r="K3" s="55"/>
      <c r="R3" s="55"/>
      <c r="T3" s="55"/>
      <c r="U3" s="84"/>
    </row>
    <row r="4" spans="1:22" ht="146.5" customHeight="1">
      <c r="A4" s="1251" t="s">
        <v>272</v>
      </c>
      <c r="B4" s="1251"/>
      <c r="C4" s="1251"/>
      <c r="D4" s="1251"/>
      <c r="E4" s="1251"/>
      <c r="F4" s="1251"/>
      <c r="G4" s="1251"/>
      <c r="H4" s="1251"/>
      <c r="I4" s="1251"/>
      <c r="J4" s="1251"/>
      <c r="K4" s="1251"/>
      <c r="L4" s="1251"/>
      <c r="M4" s="1251"/>
      <c r="N4" s="1251"/>
      <c r="O4" s="1251"/>
      <c r="P4" s="1251"/>
      <c r="Q4" s="1251"/>
      <c r="R4" s="55"/>
      <c r="T4" s="55"/>
      <c r="U4" s="84"/>
    </row>
    <row r="5" spans="1:22" ht="20">
      <c r="A5" s="123" t="s">
        <v>185</v>
      </c>
      <c r="C5" s="44"/>
      <c r="D5" s="67"/>
    </row>
    <row r="6" spans="1:22" s="2" customFormat="1">
      <c r="A6" s="107"/>
      <c r="B6" s="52"/>
      <c r="C6" s="12"/>
      <c r="D6" s="68"/>
      <c r="F6" s="1"/>
      <c r="G6" s="1"/>
      <c r="H6" s="12"/>
      <c r="I6" s="1"/>
      <c r="J6" s="12"/>
      <c r="K6" s="1"/>
      <c r="L6" s="72"/>
      <c r="M6" s="12"/>
      <c r="N6" s="52"/>
      <c r="O6" s="12"/>
      <c r="P6" s="68"/>
      <c r="Q6" s="12"/>
      <c r="R6" s="1"/>
      <c r="S6" s="12"/>
      <c r="T6" s="1"/>
      <c r="U6" s="51"/>
    </row>
    <row r="7" spans="1:22" ht="13">
      <c r="C7" s="1234" t="s">
        <v>207</v>
      </c>
      <c r="D7" s="1234"/>
      <c r="E7" s="1234"/>
      <c r="F7" s="1234"/>
      <c r="G7" s="1234"/>
      <c r="H7" s="1234"/>
      <c r="J7" s="1183" t="s">
        <v>208</v>
      </c>
      <c r="K7" s="1183"/>
      <c r="L7" s="1183"/>
      <c r="M7" s="1183"/>
      <c r="O7" s="1183" t="s">
        <v>211</v>
      </c>
      <c r="P7" s="1183"/>
      <c r="Q7" s="1183"/>
      <c r="R7" s="43"/>
      <c r="S7" s="47" t="s">
        <v>60</v>
      </c>
      <c r="U7" s="46" t="s">
        <v>43</v>
      </c>
    </row>
    <row r="8" spans="1:22" s="5" customFormat="1" ht="52" customHeight="1">
      <c r="A8" s="65" t="s">
        <v>113</v>
      </c>
      <c r="B8" s="61"/>
      <c r="C8" s="51"/>
      <c r="D8" s="101" t="s">
        <v>195</v>
      </c>
      <c r="E8" s="101" t="s">
        <v>196</v>
      </c>
      <c r="F8" s="65" t="s">
        <v>132</v>
      </c>
      <c r="G8" s="101" t="s">
        <v>107</v>
      </c>
      <c r="H8" s="65" t="s">
        <v>133</v>
      </c>
      <c r="I8" s="61"/>
      <c r="J8" s="51"/>
      <c r="K8" s="83" t="s">
        <v>107</v>
      </c>
      <c r="L8" s="83" t="s">
        <v>197</v>
      </c>
      <c r="M8" s="65" t="s">
        <v>209</v>
      </c>
      <c r="N8" s="61"/>
      <c r="O8" s="204"/>
      <c r="P8" s="83" t="s">
        <v>197</v>
      </c>
      <c r="Q8" s="65" t="s">
        <v>210</v>
      </c>
      <c r="R8" s="61"/>
      <c r="S8" s="51" t="s">
        <v>114</v>
      </c>
      <c r="T8" s="61"/>
      <c r="U8" s="51"/>
    </row>
    <row r="9" spans="1:22" ht="13">
      <c r="A9" s="108" t="s">
        <v>135</v>
      </c>
      <c r="B9" s="109"/>
      <c r="C9" s="108"/>
      <c r="D9" s="110"/>
      <c r="E9" s="111"/>
      <c r="F9" s="109"/>
      <c r="G9" s="109"/>
      <c r="H9" s="113"/>
      <c r="I9" s="109"/>
      <c r="J9" s="113"/>
      <c r="K9" s="109"/>
      <c r="L9" s="114"/>
      <c r="M9" s="113"/>
      <c r="N9" s="109"/>
      <c r="O9" s="113"/>
      <c r="P9" s="115"/>
      <c r="Q9" s="113"/>
    </row>
    <row r="10" spans="1:22" ht="55" customHeight="1">
      <c r="A10" s="1206" t="s">
        <v>0</v>
      </c>
      <c r="C10" s="54" t="s">
        <v>115</v>
      </c>
      <c r="D10" s="190">
        <v>197.4</v>
      </c>
      <c r="E10" s="106">
        <v>3.6</v>
      </c>
      <c r="F10" s="1219" t="s">
        <v>119</v>
      </c>
      <c r="G10" s="90">
        <f>D10-E10</f>
        <v>193.8</v>
      </c>
      <c r="H10" s="1238" t="s">
        <v>163</v>
      </c>
      <c r="I10" s="55"/>
      <c r="J10" s="92" t="s">
        <v>115</v>
      </c>
      <c r="K10" s="86">
        <v>35</v>
      </c>
      <c r="L10" s="120">
        <v>15</v>
      </c>
      <c r="M10" s="1219" t="s">
        <v>138</v>
      </c>
      <c r="O10" s="175" t="s">
        <v>115</v>
      </c>
      <c r="P10" s="118">
        <v>20</v>
      </c>
      <c r="Q10" s="1219" t="s">
        <v>212</v>
      </c>
      <c r="R10" s="55"/>
      <c r="S10" s="1185" t="s">
        <v>62</v>
      </c>
      <c r="T10" s="55"/>
      <c r="U10" s="1239" t="s">
        <v>61</v>
      </c>
    </row>
    <row r="11" spans="1:22" ht="55" customHeight="1">
      <c r="A11" s="1206"/>
      <c r="C11" s="54" t="s">
        <v>116</v>
      </c>
      <c r="D11" s="129" t="e">
        <f>D10/#REF!</f>
        <v>#REF!</v>
      </c>
      <c r="E11" s="86"/>
      <c r="F11" s="1219"/>
      <c r="G11" s="90"/>
      <c r="H11" s="1238"/>
      <c r="I11" s="55"/>
      <c r="J11" s="92" t="s">
        <v>116</v>
      </c>
      <c r="K11" s="63" t="e">
        <f>K10/VLOOKUP(A10,#REF!,7,0)</f>
        <v>#REF!</v>
      </c>
      <c r="L11" s="128" t="e">
        <f>L10/VLOOKUP(A10,#REF!,7,0)</f>
        <v>#REF!</v>
      </c>
      <c r="M11" s="1219"/>
      <c r="O11" s="175" t="s">
        <v>116</v>
      </c>
      <c r="P11" s="128" t="e">
        <f>K11-L11</f>
        <v>#REF!</v>
      </c>
      <c r="Q11" s="1219"/>
      <c r="R11" s="55"/>
      <c r="S11" s="1185"/>
      <c r="T11" s="55"/>
      <c r="U11" s="1239"/>
    </row>
    <row r="12" spans="1:22" ht="55" customHeight="1">
      <c r="A12" s="1207"/>
      <c r="B12" s="52"/>
      <c r="C12" s="53" t="s">
        <v>117</v>
      </c>
      <c r="D12" s="64" t="e">
        <f>(D10/VLOOKUP(A10,#REF!,4,0))*100</f>
        <v>#REF!</v>
      </c>
      <c r="E12" s="87"/>
      <c r="F12" s="1186"/>
      <c r="G12" s="91"/>
      <c r="H12" s="1192"/>
      <c r="I12" s="52"/>
      <c r="J12" s="53" t="s">
        <v>117</v>
      </c>
      <c r="K12" s="64" t="e">
        <f>(K10/VLOOKUP(A10,#REF!,4,0))*100</f>
        <v>#REF!</v>
      </c>
      <c r="L12" s="75" t="e">
        <f>(L10/VLOOKUP(A10,#REF!,4,0))*100</f>
        <v>#REF!</v>
      </c>
      <c r="M12" s="1186"/>
      <c r="N12" s="52"/>
      <c r="O12" s="53" t="s">
        <v>117</v>
      </c>
      <c r="P12" s="74" t="e">
        <f>(P10/VLOOKUP(A10,#REF!,4,0))*100</f>
        <v>#REF!</v>
      </c>
      <c r="Q12" s="1186"/>
      <c r="R12" s="52"/>
      <c r="S12" s="1186"/>
      <c r="T12" s="52"/>
      <c r="U12" s="1240"/>
    </row>
    <row r="13" spans="1:22" ht="60" customHeight="1">
      <c r="A13" s="1205" t="s">
        <v>1</v>
      </c>
      <c r="B13" s="16"/>
      <c r="C13" s="92" t="s">
        <v>115</v>
      </c>
      <c r="D13" s="102">
        <f>190-85+E13</f>
        <v>108.175</v>
      </c>
      <c r="E13" s="62">
        <f>1.125+2.05</f>
        <v>3.1749999999999998</v>
      </c>
      <c r="F13" s="1220" t="s">
        <v>164</v>
      </c>
      <c r="G13" s="102">
        <v>105</v>
      </c>
      <c r="H13" s="1184" t="s">
        <v>165</v>
      </c>
      <c r="I13" s="16"/>
      <c r="J13" s="92" t="s">
        <v>115</v>
      </c>
      <c r="K13" s="88">
        <v>70</v>
      </c>
      <c r="L13" s="76">
        <v>5</v>
      </c>
      <c r="M13" s="1184" t="s">
        <v>102</v>
      </c>
      <c r="N13" s="16"/>
      <c r="O13" s="175" t="s">
        <v>115</v>
      </c>
      <c r="P13" s="102">
        <v>65</v>
      </c>
      <c r="Q13" s="1184" t="s">
        <v>139</v>
      </c>
      <c r="R13" s="15"/>
      <c r="S13" s="18"/>
      <c r="T13" s="15"/>
      <c r="U13" s="25" t="s">
        <v>63</v>
      </c>
      <c r="V13" s="1214" t="s">
        <v>213</v>
      </c>
    </row>
    <row r="14" spans="1:22" ht="60" customHeight="1">
      <c r="A14" s="1206"/>
      <c r="B14" s="35"/>
      <c r="C14" s="92" t="s">
        <v>116</v>
      </c>
      <c r="D14" s="129" t="e">
        <f>D13/VLOOKUP(A13,#REF!,7,0)</f>
        <v>#REF!</v>
      </c>
      <c r="E14" s="82"/>
      <c r="F14" s="1221"/>
      <c r="G14" s="103"/>
      <c r="H14" s="1185"/>
      <c r="I14" s="35"/>
      <c r="J14" s="92" t="s">
        <v>116</v>
      </c>
      <c r="K14" s="86"/>
      <c r="L14" s="74" t="e">
        <f>L13/VLOOKUP(A13,#REF!,7,0)</f>
        <v>#REF!</v>
      </c>
      <c r="M14" s="1185"/>
      <c r="N14" s="35"/>
      <c r="O14" s="175" t="s">
        <v>116</v>
      </c>
      <c r="P14" s="129" t="e">
        <f>P13/VLOOKUP(A13,#REF!,7,0)</f>
        <v>#REF!</v>
      </c>
      <c r="Q14" s="1185"/>
      <c r="S14" s="28"/>
      <c r="U14" s="27"/>
      <c r="V14" s="1215"/>
    </row>
    <row r="15" spans="1:22" ht="60" customHeight="1">
      <c r="A15" s="1207"/>
      <c r="B15" s="12"/>
      <c r="C15" s="53" t="s">
        <v>117</v>
      </c>
      <c r="D15" s="64" t="e">
        <f>(D13/VLOOKUP(A13,#REF!,4,0))*100</f>
        <v>#REF!</v>
      </c>
      <c r="E15" s="17"/>
      <c r="F15" s="1222"/>
      <c r="G15" s="104"/>
      <c r="H15" s="1186"/>
      <c r="I15" s="12"/>
      <c r="J15" s="53" t="s">
        <v>117</v>
      </c>
      <c r="K15" s="87"/>
      <c r="L15" s="75" t="e">
        <f>(L13/VLOOKUP(A13,#REF!,4,0))*100</f>
        <v>#REF!</v>
      </c>
      <c r="M15" s="1186"/>
      <c r="N15" s="12"/>
      <c r="O15" s="53" t="s">
        <v>117</v>
      </c>
      <c r="P15" s="64" t="e">
        <f>(P13/VLOOKUP(A13,#REF!,4,0))*100</f>
        <v>#REF!</v>
      </c>
      <c r="Q15" s="1186"/>
      <c r="R15" s="1"/>
      <c r="S15" s="19"/>
      <c r="T15" s="1"/>
      <c r="U15" s="26"/>
      <c r="V15" s="1215"/>
    </row>
    <row r="16" spans="1:22" ht="32.15" customHeight="1">
      <c r="A16" s="1199" t="s">
        <v>155</v>
      </c>
      <c r="B16" s="16"/>
      <c r="C16" s="92" t="s">
        <v>115</v>
      </c>
      <c r="D16" s="102">
        <v>37</v>
      </c>
      <c r="E16" s="88">
        <v>0.05</v>
      </c>
      <c r="F16" s="1220" t="s">
        <v>262</v>
      </c>
      <c r="G16" s="102">
        <v>37</v>
      </c>
      <c r="H16" s="1184" t="s">
        <v>263</v>
      </c>
      <c r="I16" s="16"/>
      <c r="J16" s="92" t="s">
        <v>115</v>
      </c>
      <c r="K16" s="88">
        <v>1</v>
      </c>
      <c r="L16" s="76"/>
      <c r="M16" s="56"/>
      <c r="N16" s="16"/>
      <c r="O16" s="175" t="s">
        <v>115</v>
      </c>
      <c r="P16" s="62">
        <v>1</v>
      </c>
      <c r="Q16" s="1193" t="s">
        <v>140</v>
      </c>
      <c r="R16" s="15"/>
      <c r="S16" s="1184" t="s">
        <v>74</v>
      </c>
      <c r="T16" s="15"/>
      <c r="U16" s="22"/>
    </row>
    <row r="17" spans="1:21" ht="42.65" customHeight="1">
      <c r="A17" s="1200"/>
      <c r="B17" s="35"/>
      <c r="C17" s="92" t="s">
        <v>116</v>
      </c>
      <c r="D17" s="129" t="e">
        <f>D16/VLOOKUP(A16,#REF!,6,0)</f>
        <v>#REF!</v>
      </c>
      <c r="E17" s="103"/>
      <c r="F17" s="1221"/>
      <c r="G17" s="94"/>
      <c r="H17" s="1185"/>
      <c r="I17" s="35"/>
      <c r="J17" s="92" t="s">
        <v>116</v>
      </c>
      <c r="K17" s="82"/>
      <c r="L17" s="74"/>
      <c r="M17" s="58"/>
      <c r="N17" s="35"/>
      <c r="O17" s="175" t="s">
        <v>116</v>
      </c>
      <c r="P17" s="63" t="e">
        <f>P16/VLOOKUP(A16,#REF!,7,0)</f>
        <v>#REF!</v>
      </c>
      <c r="Q17" s="1196"/>
      <c r="S17" s="1185"/>
      <c r="U17" s="27"/>
    </row>
    <row r="18" spans="1:21" ht="50.15" customHeight="1">
      <c r="A18" s="1201"/>
      <c r="B18" s="12"/>
      <c r="C18" s="53" t="s">
        <v>117</v>
      </c>
      <c r="D18" s="64" t="e">
        <f>(D16/VLOOKUP(A16,#REF!,4,0))*100</f>
        <v>#REF!</v>
      </c>
      <c r="E18" s="104"/>
      <c r="F18" s="1222"/>
      <c r="G18" s="81"/>
      <c r="H18" s="1186"/>
      <c r="I18" s="12"/>
      <c r="J18" s="53" t="s">
        <v>117</v>
      </c>
      <c r="K18" s="87"/>
      <c r="L18" s="75"/>
      <c r="M18" s="57"/>
      <c r="N18" s="12"/>
      <c r="O18" s="53" t="s">
        <v>117</v>
      </c>
      <c r="P18" s="64" t="e">
        <f>(P16/VLOOKUP(A16,#REF!,4,0))*100</f>
        <v>#REF!</v>
      </c>
      <c r="Q18" s="1197"/>
      <c r="R18" s="1"/>
      <c r="S18" s="1186"/>
      <c r="T18" s="1"/>
      <c r="U18" s="26"/>
    </row>
    <row r="19" spans="1:21" ht="39" customHeight="1">
      <c r="A19" s="1205" t="s">
        <v>2</v>
      </c>
      <c r="B19" s="16"/>
      <c r="C19" s="92" t="s">
        <v>115</v>
      </c>
      <c r="D19" s="102">
        <f>11+5.5</f>
        <v>16.5</v>
      </c>
      <c r="E19" s="102">
        <v>2</v>
      </c>
      <c r="F19" s="1184" t="s">
        <v>203</v>
      </c>
      <c r="G19" s="93">
        <v>9.5</v>
      </c>
      <c r="H19" s="1190" t="s">
        <v>204</v>
      </c>
      <c r="I19" s="16"/>
      <c r="J19" s="92" t="s">
        <v>115</v>
      </c>
      <c r="K19" s="102">
        <f>P19</f>
        <v>312</v>
      </c>
      <c r="L19" s="76"/>
      <c r="M19" s="22"/>
      <c r="N19" s="16"/>
      <c r="O19" s="175" t="s">
        <v>115</v>
      </c>
      <c r="P19" s="102">
        <v>312</v>
      </c>
      <c r="Q19" s="1184" t="s">
        <v>154</v>
      </c>
      <c r="R19" s="15"/>
      <c r="S19" s="18" t="s">
        <v>214</v>
      </c>
      <c r="T19" s="15"/>
      <c r="U19" s="25" t="s">
        <v>64</v>
      </c>
    </row>
    <row r="20" spans="1:21" ht="35.5" customHeight="1">
      <c r="A20" s="1206"/>
      <c r="B20" s="35"/>
      <c r="C20" s="92" t="s">
        <v>116</v>
      </c>
      <c r="D20" s="129" t="e">
        <f>D19/VLOOKUP(A19,#REF!,7,0)</f>
        <v>#REF!</v>
      </c>
      <c r="E20" s="103"/>
      <c r="F20" s="1185"/>
      <c r="G20" s="94"/>
      <c r="H20" s="1191"/>
      <c r="I20" s="35"/>
      <c r="J20" s="92" t="s">
        <v>116</v>
      </c>
      <c r="K20" s="103" t="e">
        <f>P20</f>
        <v>#REF!</v>
      </c>
      <c r="L20" s="77"/>
      <c r="M20" s="36"/>
      <c r="N20" s="35"/>
      <c r="O20" s="175" t="s">
        <v>116</v>
      </c>
      <c r="P20" s="129" t="e">
        <f>P19/VLOOKUP(A19,#REF!,7,0)</f>
        <v>#REF!</v>
      </c>
      <c r="Q20" s="1185"/>
      <c r="S20" s="28"/>
      <c r="U20" s="27"/>
    </row>
    <row r="21" spans="1:21" s="2" customFormat="1" ht="53.5" customHeight="1">
      <c r="A21" s="1207"/>
      <c r="B21" s="12"/>
      <c r="C21" s="53" t="s">
        <v>117</v>
      </c>
      <c r="D21" s="64" t="e">
        <f>(D19/VLOOKUP(A19,#REF!,4,0))*100</f>
        <v>#REF!</v>
      </c>
      <c r="E21" s="104"/>
      <c r="F21" s="1186"/>
      <c r="G21" s="221"/>
      <c r="H21" s="1192"/>
      <c r="I21" s="12"/>
      <c r="J21" s="53" t="s">
        <v>117</v>
      </c>
      <c r="K21" s="17" t="e">
        <f>P21</f>
        <v>#REF!</v>
      </c>
      <c r="L21" s="78"/>
      <c r="M21" s="57"/>
      <c r="N21" s="12"/>
      <c r="O21" s="53" t="s">
        <v>117</v>
      </c>
      <c r="P21" s="64" t="e">
        <f>(P19/VLOOKUP(A19,#REF!,4,0))*100</f>
        <v>#REF!</v>
      </c>
      <c r="Q21" s="1186"/>
      <c r="R21" s="52"/>
      <c r="S21" s="207"/>
      <c r="T21" s="52"/>
      <c r="U21" s="220"/>
    </row>
    <row r="22" spans="1:21" s="229" customFormat="1" ht="50.15" customHeight="1">
      <c r="A22" s="1205" t="s">
        <v>3</v>
      </c>
      <c r="B22" s="16"/>
      <c r="C22" s="38" t="s">
        <v>115</v>
      </c>
      <c r="D22" s="102">
        <v>143</v>
      </c>
      <c r="E22" s="62">
        <v>11.2</v>
      </c>
      <c r="F22" s="1220" t="s">
        <v>166</v>
      </c>
      <c r="G22" s="62">
        <f>D22-E22</f>
        <v>131.80000000000001</v>
      </c>
      <c r="H22" s="1184" t="s">
        <v>167</v>
      </c>
      <c r="I22" s="16"/>
      <c r="J22" s="38" t="s">
        <v>115</v>
      </c>
      <c r="K22" s="211">
        <v>1025</v>
      </c>
      <c r="L22" s="122">
        <v>200</v>
      </c>
      <c r="M22" s="1184" t="s">
        <v>142</v>
      </c>
      <c r="N22" s="16"/>
      <c r="O22" s="38" t="s">
        <v>115</v>
      </c>
      <c r="P22" s="102">
        <f>825-63</f>
        <v>762</v>
      </c>
      <c r="Q22" s="1184" t="s">
        <v>141</v>
      </c>
      <c r="R22" s="15"/>
      <c r="S22" s="1184" t="s">
        <v>65</v>
      </c>
      <c r="T22" s="15"/>
      <c r="U22" s="1225" t="s">
        <v>67</v>
      </c>
    </row>
    <row r="23" spans="1:21" ht="50.15" customHeight="1">
      <c r="A23" s="1206"/>
      <c r="B23" s="35"/>
      <c r="C23" s="92" t="s">
        <v>116</v>
      </c>
      <c r="D23" s="129" t="e">
        <f>D22/VLOOKUP(A22,#REF!,7,0)</f>
        <v>#REF!</v>
      </c>
      <c r="E23" s="103"/>
      <c r="F23" s="1221"/>
      <c r="G23" s="94"/>
      <c r="H23" s="1185"/>
      <c r="I23" s="35"/>
      <c r="J23" s="92" t="s">
        <v>116</v>
      </c>
      <c r="K23" s="86"/>
      <c r="L23" s="128" t="e">
        <f>L22/VLOOKUP(A22,#REF!,7,0)</f>
        <v>#REF!</v>
      </c>
      <c r="M23" s="1185"/>
      <c r="N23" s="35"/>
      <c r="O23" s="175" t="s">
        <v>116</v>
      </c>
      <c r="P23" s="129" t="e">
        <f>P22/VLOOKUP(A22,#REF!,7,0)</f>
        <v>#REF!</v>
      </c>
      <c r="Q23" s="1185"/>
      <c r="S23" s="1185"/>
      <c r="U23" s="1226"/>
    </row>
    <row r="24" spans="1:21" ht="50.15" customHeight="1">
      <c r="A24" s="1207"/>
      <c r="B24" s="12"/>
      <c r="C24" s="53" t="s">
        <v>117</v>
      </c>
      <c r="D24" s="64" t="e">
        <f>(D22/VLOOKUP(A22,#REF!,4,0))*100</f>
        <v>#REF!</v>
      </c>
      <c r="E24" s="104"/>
      <c r="F24" s="1222"/>
      <c r="G24" s="81"/>
      <c r="H24" s="1186"/>
      <c r="I24" s="12"/>
      <c r="J24" s="53" t="s">
        <v>117</v>
      </c>
      <c r="K24" s="87"/>
      <c r="L24" s="75" t="e">
        <f>(L22/VLOOKUP(A22,#REF!,4,0))*100</f>
        <v>#REF!</v>
      </c>
      <c r="M24" s="1186"/>
      <c r="N24" s="12"/>
      <c r="O24" s="53" t="s">
        <v>117</v>
      </c>
      <c r="P24" s="64" t="e">
        <f>(P22/VLOOKUP(A22,#REF!,4,0))*100</f>
        <v>#REF!</v>
      </c>
      <c r="Q24" s="1186"/>
      <c r="R24" s="1"/>
      <c r="S24" s="1186"/>
      <c r="T24" s="1"/>
      <c r="U24" s="1227"/>
    </row>
    <row r="25" spans="1:21" ht="57" customHeight="1">
      <c r="A25" s="1205" t="s">
        <v>4</v>
      </c>
      <c r="B25" s="16"/>
      <c r="C25" s="92" t="s">
        <v>115</v>
      </c>
      <c r="D25" s="102">
        <v>20</v>
      </c>
      <c r="E25" s="62">
        <v>3.2</v>
      </c>
      <c r="F25" s="1220" t="s">
        <v>159</v>
      </c>
      <c r="G25" s="62">
        <v>10.3</v>
      </c>
      <c r="H25" s="1190" t="s">
        <v>158</v>
      </c>
      <c r="I25" s="16"/>
      <c r="J25" s="92" t="s">
        <v>115</v>
      </c>
      <c r="K25" s="88">
        <v>65.099999999999994</v>
      </c>
      <c r="L25" s="76"/>
      <c r="M25" s="1241"/>
      <c r="N25" s="16"/>
      <c r="O25" s="175" t="s">
        <v>115</v>
      </c>
      <c r="P25" s="105">
        <v>530</v>
      </c>
      <c r="Q25" s="1190" t="s">
        <v>215</v>
      </c>
      <c r="R25" s="15"/>
      <c r="S25" s="1184" t="s">
        <v>216</v>
      </c>
      <c r="T25" s="15"/>
      <c r="U25" s="25" t="s">
        <v>66</v>
      </c>
    </row>
    <row r="26" spans="1:21" ht="38">
      <c r="A26" s="1206"/>
      <c r="B26" s="35"/>
      <c r="C26" s="92" t="s">
        <v>116</v>
      </c>
      <c r="D26" s="129" t="e">
        <f>D25/VLOOKUP(A25,#REF!,7,0)</f>
        <v>#REF!</v>
      </c>
      <c r="E26" s="103"/>
      <c r="F26" s="1221"/>
      <c r="G26" s="94"/>
      <c r="H26" s="1191"/>
      <c r="I26" s="35"/>
      <c r="J26" s="92" t="s">
        <v>116</v>
      </c>
      <c r="K26" s="86"/>
      <c r="L26" s="74"/>
      <c r="M26" s="1242"/>
      <c r="N26" s="35"/>
      <c r="O26" s="175" t="s">
        <v>116</v>
      </c>
      <c r="P26" s="129" t="e">
        <f>P25/VLOOKUP(A25,#REF!,7,0)</f>
        <v>#REF!</v>
      </c>
      <c r="Q26" s="1191"/>
      <c r="S26" s="1185"/>
      <c r="U26" s="197" t="s">
        <v>186</v>
      </c>
    </row>
    <row r="27" spans="1:21" ht="96" customHeight="1">
      <c r="A27" s="1207"/>
      <c r="B27" s="12"/>
      <c r="C27" s="53" t="s">
        <v>117</v>
      </c>
      <c r="D27" s="64" t="e">
        <f>(D25/VLOOKUP(A25,#REF!,4,0))*100</f>
        <v>#REF!</v>
      </c>
      <c r="E27" s="104"/>
      <c r="F27" s="1222"/>
      <c r="G27" s="81"/>
      <c r="H27" s="1192"/>
      <c r="I27" s="12"/>
      <c r="J27" s="53" t="s">
        <v>117</v>
      </c>
      <c r="K27" s="87"/>
      <c r="L27" s="75"/>
      <c r="M27" s="1243"/>
      <c r="N27" s="12"/>
      <c r="O27" s="53" t="s">
        <v>117</v>
      </c>
      <c r="P27" s="64" t="e">
        <f>(P25/VLOOKUP(A25,#REF!,4,0))*100</f>
        <v>#REF!</v>
      </c>
      <c r="Q27" s="1192"/>
      <c r="R27" s="1"/>
      <c r="S27" s="1186"/>
      <c r="T27" s="1"/>
      <c r="U27" s="26"/>
    </row>
    <row r="28" spans="1:21" ht="60" customHeight="1">
      <c r="A28" s="1205" t="s">
        <v>5</v>
      </c>
      <c r="B28" s="16"/>
      <c r="C28" s="175" t="s">
        <v>198</v>
      </c>
      <c r="D28" s="187">
        <v>53000</v>
      </c>
      <c r="E28" s="102">
        <v>62</v>
      </c>
      <c r="F28" s="1193" t="s">
        <v>264</v>
      </c>
      <c r="G28" s="102">
        <f>383-78</f>
        <v>305</v>
      </c>
      <c r="H28" s="1193" t="s">
        <v>193</v>
      </c>
      <c r="I28" s="16"/>
      <c r="J28" s="38" t="s">
        <v>115</v>
      </c>
      <c r="K28" s="211"/>
      <c r="L28" s="187">
        <v>53200</v>
      </c>
      <c r="M28" s="1198" t="s">
        <v>191</v>
      </c>
      <c r="N28" s="16"/>
      <c r="O28" s="38" t="s">
        <v>115</v>
      </c>
      <c r="P28" s="187">
        <v>2000</v>
      </c>
      <c r="Q28" s="1198" t="s">
        <v>192</v>
      </c>
      <c r="R28" s="15"/>
      <c r="S28" s="1184" t="s">
        <v>68</v>
      </c>
      <c r="T28" s="15"/>
      <c r="U28" s="22"/>
    </row>
    <row r="29" spans="1:21" ht="93" customHeight="1">
      <c r="A29" s="1206"/>
      <c r="B29" s="35"/>
      <c r="C29" s="175" t="s">
        <v>116</v>
      </c>
      <c r="D29" s="63" t="e">
        <f>D28/VLOOKUP(A28,#REF!,7,0)</f>
        <v>#REF!</v>
      </c>
      <c r="E29" s="103"/>
      <c r="F29" s="1194"/>
      <c r="G29" s="200"/>
      <c r="H29" s="1196"/>
      <c r="I29" s="35"/>
      <c r="J29" s="175" t="s">
        <v>116</v>
      </c>
      <c r="K29" s="212"/>
      <c r="L29" s="74" t="e">
        <f>L28/VLOOKUP(A28,#REF!,7,0)</f>
        <v>#REF!</v>
      </c>
      <c r="M29" s="1194"/>
      <c r="N29" s="35"/>
      <c r="O29" s="175" t="s">
        <v>116</v>
      </c>
      <c r="P29" s="201" t="e">
        <f>P28/VLOOKUP(A28,#REF!,7,0)</f>
        <v>#REF!</v>
      </c>
      <c r="Q29" s="1194"/>
      <c r="S29" s="1185"/>
      <c r="U29" s="27"/>
    </row>
    <row r="30" spans="1:21" s="2" customFormat="1" ht="99.65" customHeight="1">
      <c r="A30" s="1207"/>
      <c r="B30" s="12"/>
      <c r="C30" s="53" t="s">
        <v>117</v>
      </c>
      <c r="D30" s="64" t="e">
        <f>(D28/VLOOKUP(A28,#REF!,4,0))*100</f>
        <v>#REF!</v>
      </c>
      <c r="E30" s="104"/>
      <c r="F30" s="1195"/>
      <c r="G30" s="221"/>
      <c r="H30" s="1197"/>
      <c r="I30" s="12"/>
      <c r="J30" s="53" t="s">
        <v>117</v>
      </c>
      <c r="K30" s="213"/>
      <c r="L30" s="75" t="e">
        <f>(L28/VLOOKUP(A28,#REF!,4,0))*100</f>
        <v>#REF!</v>
      </c>
      <c r="M30" s="1195"/>
      <c r="N30" s="12"/>
      <c r="O30" s="53" t="s">
        <v>117</v>
      </c>
      <c r="P30" s="64" t="e">
        <f>(P28/VLOOKUP(A28,#REF!,4,0))*100</f>
        <v>#REF!</v>
      </c>
      <c r="Q30" s="1195"/>
      <c r="R30" s="52"/>
      <c r="S30" s="1186"/>
      <c r="T30" s="52"/>
      <c r="U30" s="220"/>
    </row>
    <row r="31" spans="1:21" s="229" customFormat="1" ht="60.65" customHeight="1">
      <c r="A31" s="1205" t="s">
        <v>6</v>
      </c>
      <c r="B31" s="16"/>
      <c r="C31" s="38" t="s">
        <v>115</v>
      </c>
      <c r="D31" s="189">
        <v>26000</v>
      </c>
      <c r="E31" s="105">
        <v>2500</v>
      </c>
      <c r="F31" s="1220" t="s">
        <v>168</v>
      </c>
      <c r="G31" s="105">
        <v>23500</v>
      </c>
      <c r="H31" s="1193" t="s">
        <v>169</v>
      </c>
      <c r="I31" s="16"/>
      <c r="J31" s="38" t="s">
        <v>115</v>
      </c>
      <c r="K31" s="211"/>
      <c r="L31" s="187">
        <v>70000</v>
      </c>
      <c r="M31" s="1190" t="s">
        <v>170</v>
      </c>
      <c r="N31" s="16"/>
      <c r="O31" s="38" t="s">
        <v>115</v>
      </c>
      <c r="P31" s="62"/>
      <c r="Q31" s="22"/>
      <c r="R31" s="15"/>
      <c r="S31" s="1184" t="s">
        <v>70</v>
      </c>
      <c r="T31" s="15"/>
      <c r="U31" s="1225" t="s">
        <v>69</v>
      </c>
    </row>
    <row r="32" spans="1:21" ht="85" customHeight="1">
      <c r="A32" s="1206"/>
      <c r="B32" s="35"/>
      <c r="C32" s="92" t="s">
        <v>116</v>
      </c>
      <c r="D32" s="129" t="e">
        <f>D31/VLOOKUP(A31,#REF!,7,0)</f>
        <v>#REF!</v>
      </c>
      <c r="E32" s="103"/>
      <c r="F32" s="1221"/>
      <c r="G32" s="94"/>
      <c r="H32" s="1196"/>
      <c r="I32" s="35"/>
      <c r="J32" s="92" t="s">
        <v>116</v>
      </c>
      <c r="K32" s="86"/>
      <c r="L32" s="129" t="e">
        <f>L31/VLOOKUP(A31,#REF!,7,0)</f>
        <v>#REF!</v>
      </c>
      <c r="M32" s="1191"/>
      <c r="N32" s="35"/>
      <c r="O32" s="175" t="s">
        <v>116</v>
      </c>
      <c r="P32" s="82"/>
      <c r="Q32" s="58"/>
      <c r="S32" s="1185"/>
      <c r="U32" s="1226"/>
    </row>
    <row r="33" spans="1:22" ht="85" customHeight="1">
      <c r="A33" s="1207"/>
      <c r="B33" s="12"/>
      <c r="C33" s="53" t="s">
        <v>117</v>
      </c>
      <c r="D33" s="64" t="e">
        <f>(D31/VLOOKUP(A31,#REF!,4,0))*100</f>
        <v>#REF!</v>
      </c>
      <c r="E33" s="104"/>
      <c r="F33" s="1222"/>
      <c r="G33" s="81"/>
      <c r="H33" s="1197"/>
      <c r="I33" s="12"/>
      <c r="J33" s="53" t="s">
        <v>117</v>
      </c>
      <c r="K33" s="87"/>
      <c r="L33" s="64" t="e">
        <f>(L31/VLOOKUP(A31,#REF!,4,0))*100</f>
        <v>#REF!</v>
      </c>
      <c r="M33" s="1192"/>
      <c r="N33" s="12"/>
      <c r="O33" s="53" t="s">
        <v>117</v>
      </c>
      <c r="P33" s="82"/>
      <c r="Q33" s="58"/>
      <c r="R33" s="1"/>
      <c r="S33" s="1186"/>
      <c r="T33" s="1"/>
      <c r="U33" s="1227"/>
    </row>
    <row r="34" spans="1:22" s="10" customFormat="1" ht="195" customHeight="1">
      <c r="A34" s="1199" t="s">
        <v>32</v>
      </c>
      <c r="B34" s="95"/>
      <c r="C34" s="38" t="s">
        <v>115</v>
      </c>
      <c r="D34" s="177">
        <v>13.9</v>
      </c>
      <c r="E34" s="1184">
        <v>3.9</v>
      </c>
      <c r="F34" s="1233" t="s">
        <v>217</v>
      </c>
      <c r="G34" s="89">
        <f>8.9-3.9</f>
        <v>5</v>
      </c>
      <c r="H34" s="1184" t="s">
        <v>218</v>
      </c>
      <c r="I34" s="13"/>
      <c r="J34" s="175" t="s">
        <v>115</v>
      </c>
      <c r="K34" s="18"/>
      <c r="L34" s="79">
        <v>10</v>
      </c>
      <c r="M34" s="1184" t="s">
        <v>219</v>
      </c>
      <c r="N34" s="202"/>
      <c r="O34" s="175" t="s">
        <v>115</v>
      </c>
      <c r="P34" s="116">
        <v>102</v>
      </c>
      <c r="Q34" s="1184" t="s">
        <v>220</v>
      </c>
      <c r="R34" s="13"/>
      <c r="S34" s="18"/>
      <c r="T34" s="13"/>
      <c r="U34" s="1225" t="s">
        <v>49</v>
      </c>
      <c r="V34" s="10">
        <f>849+223</f>
        <v>1072</v>
      </c>
    </row>
    <row r="35" spans="1:22" s="40" customFormat="1" ht="85" customHeight="1">
      <c r="A35" s="1200"/>
      <c r="B35" s="85"/>
      <c r="C35" s="50" t="s">
        <v>116</v>
      </c>
      <c r="D35" s="129" t="e">
        <f>D34/VLOOKUP(A34,#REF!,7,0)</f>
        <v>#REF!</v>
      </c>
      <c r="E35" s="1185"/>
      <c r="F35" s="1221"/>
      <c r="G35" s="90"/>
      <c r="H35" s="1185"/>
      <c r="I35" s="10"/>
      <c r="J35" s="175" t="s">
        <v>116</v>
      </c>
      <c r="K35" s="28"/>
      <c r="L35" s="73" t="e">
        <f>L34/#REF!</f>
        <v>#REF!</v>
      </c>
      <c r="M35" s="1185"/>
      <c r="N35" s="203"/>
      <c r="O35" s="175" t="s">
        <v>116</v>
      </c>
      <c r="P35" s="129" t="e">
        <f>P34/VLOOKUP(A34,#REF!,7,0)</f>
        <v>#REF!</v>
      </c>
      <c r="Q35" s="1185"/>
      <c r="R35" s="10"/>
      <c r="S35" s="28"/>
      <c r="T35" s="10"/>
      <c r="U35" s="1226"/>
    </row>
    <row r="36" spans="1:22" ht="116.15" customHeight="1">
      <c r="A36" s="1201"/>
      <c r="B36" s="12"/>
      <c r="C36" s="53" t="s">
        <v>117</v>
      </c>
      <c r="D36" s="64" t="e">
        <f>(D34/VLOOKUP(A34,#REF!,4,0))*100</f>
        <v>#REF!</v>
      </c>
      <c r="E36" s="24"/>
      <c r="F36" s="1222"/>
      <c r="G36" s="81"/>
      <c r="H36" s="1186"/>
      <c r="I36" s="12"/>
      <c r="J36" s="53" t="s">
        <v>117</v>
      </c>
      <c r="K36" s="23"/>
      <c r="L36" s="75" t="e">
        <f>L34/#REF!*100</f>
        <v>#REF!</v>
      </c>
      <c r="M36" s="1186"/>
      <c r="N36" s="12"/>
      <c r="O36" s="53" t="s">
        <v>117</v>
      </c>
      <c r="P36" s="64" t="e">
        <f>(P34/VLOOKUP(A34,#REF!,4,0))*100</f>
        <v>#REF!</v>
      </c>
      <c r="Q36" s="1186"/>
      <c r="R36" s="1"/>
      <c r="S36" s="19"/>
      <c r="T36" s="1"/>
      <c r="U36" s="1227"/>
    </row>
    <row r="37" spans="1:22" ht="85.5" customHeight="1">
      <c r="A37" s="1205" t="s">
        <v>7</v>
      </c>
      <c r="B37" s="16"/>
      <c r="C37" s="92" t="s">
        <v>115</v>
      </c>
      <c r="D37" s="102">
        <v>65</v>
      </c>
      <c r="E37" s="102">
        <v>5</v>
      </c>
      <c r="F37" s="1220" t="s">
        <v>118</v>
      </c>
      <c r="G37" s="102">
        <v>60</v>
      </c>
      <c r="H37" s="1184" t="s">
        <v>266</v>
      </c>
      <c r="I37" s="16"/>
      <c r="J37" s="92" t="s">
        <v>115</v>
      </c>
      <c r="K37" s="88">
        <v>330</v>
      </c>
      <c r="L37" s="122">
        <v>330</v>
      </c>
      <c r="M37" s="1190" t="s">
        <v>267</v>
      </c>
      <c r="N37" s="16"/>
      <c r="O37" s="175" t="s">
        <v>115</v>
      </c>
      <c r="P37" s="62"/>
      <c r="Q37" s="1184" t="s">
        <v>157</v>
      </c>
      <c r="R37" s="15"/>
      <c r="S37" s="1244" t="s">
        <v>72</v>
      </c>
      <c r="T37" s="15"/>
      <c r="U37" s="1235" t="s">
        <v>71</v>
      </c>
    </row>
    <row r="38" spans="1:22" ht="75" customHeight="1">
      <c r="A38" s="1206"/>
      <c r="B38" s="35"/>
      <c r="C38" s="92" t="s">
        <v>116</v>
      </c>
      <c r="D38" s="129" t="e">
        <f>D37/VLOOKUP(A37,#REF!,7,0)</f>
        <v>#REF!</v>
      </c>
      <c r="E38" s="103"/>
      <c r="F38" s="1221"/>
      <c r="G38" s="94"/>
      <c r="H38" s="1185"/>
      <c r="I38" s="35"/>
      <c r="J38" s="92" t="s">
        <v>116</v>
      </c>
      <c r="K38" s="86"/>
      <c r="L38" s="128" t="e">
        <f>L37/VLOOKUP(A37,#REF!,7,0)</f>
        <v>#REF!</v>
      </c>
      <c r="M38" s="1191"/>
      <c r="N38" s="35"/>
      <c r="O38" s="175" t="s">
        <v>116</v>
      </c>
      <c r="P38" s="82"/>
      <c r="Q38" s="1185"/>
      <c r="S38" s="1245"/>
      <c r="U38" s="1236"/>
    </row>
    <row r="39" spans="1:22" s="2" customFormat="1" ht="72" customHeight="1">
      <c r="A39" s="1207"/>
      <c r="B39" s="12"/>
      <c r="C39" s="53" t="s">
        <v>117</v>
      </c>
      <c r="D39" s="64" t="e">
        <f>(D37/VLOOKUP(A37,#REF!,4,0))*100</f>
        <v>#REF!</v>
      </c>
      <c r="E39" s="104"/>
      <c r="F39" s="1222"/>
      <c r="G39" s="221"/>
      <c r="H39" s="1186"/>
      <c r="I39" s="12"/>
      <c r="J39" s="53" t="s">
        <v>117</v>
      </c>
      <c r="K39" s="213"/>
      <c r="L39" s="75" t="e">
        <f>(L37/VLOOKUP(A37,#REF!,4,0))*100</f>
        <v>#REF!</v>
      </c>
      <c r="M39" s="1192"/>
      <c r="N39" s="12"/>
      <c r="O39" s="53" t="s">
        <v>117</v>
      </c>
      <c r="P39" s="17"/>
      <c r="Q39" s="1186"/>
      <c r="R39" s="52"/>
      <c r="S39" s="1246"/>
      <c r="T39" s="52"/>
      <c r="U39" s="1237"/>
    </row>
    <row r="40" spans="1:22" s="229" customFormat="1" ht="67" customHeight="1">
      <c r="A40" s="1205" t="s">
        <v>8</v>
      </c>
      <c r="B40" s="16"/>
      <c r="C40" s="38" t="s">
        <v>115</v>
      </c>
      <c r="D40" s="187">
        <v>1395</v>
      </c>
      <c r="E40" s="102">
        <v>141</v>
      </c>
      <c r="F40" s="1220" t="s">
        <v>120</v>
      </c>
      <c r="G40" s="102">
        <f>D40-E40</f>
        <v>1254</v>
      </c>
      <c r="H40" s="1184" t="s">
        <v>221</v>
      </c>
      <c r="I40" s="16"/>
      <c r="J40" s="38" t="s">
        <v>115</v>
      </c>
      <c r="K40" s="211">
        <v>859</v>
      </c>
      <c r="L40" s="122">
        <v>859</v>
      </c>
      <c r="M40" s="1190" t="s">
        <v>222</v>
      </c>
      <c r="N40" s="16"/>
      <c r="O40" s="38" t="s">
        <v>115</v>
      </c>
      <c r="P40" s="62"/>
      <c r="Q40" s="22"/>
      <c r="R40" s="15"/>
      <c r="S40" s="1184" t="s">
        <v>73</v>
      </c>
      <c r="T40" s="15"/>
      <c r="U40" s="22"/>
    </row>
    <row r="41" spans="1:22" ht="100" customHeight="1">
      <c r="A41" s="1206"/>
      <c r="B41" s="35"/>
      <c r="C41" s="92" t="s">
        <v>116</v>
      </c>
      <c r="D41" s="188" t="e">
        <f>D40/VLOOKUP(A40,#REF!,7,0)</f>
        <v>#REF!</v>
      </c>
      <c r="E41" s="103"/>
      <c r="F41" s="1221"/>
      <c r="G41" s="94"/>
      <c r="H41" s="1185"/>
      <c r="I41" s="35"/>
      <c r="J41" s="92" t="s">
        <v>116</v>
      </c>
      <c r="K41" s="86"/>
      <c r="L41" s="128" t="e">
        <f>L40/VLOOKUP(A40,#REF!,7,0)</f>
        <v>#REF!</v>
      </c>
      <c r="M41" s="1191"/>
      <c r="N41" s="35"/>
      <c r="O41" s="175" t="s">
        <v>116</v>
      </c>
      <c r="P41" s="82"/>
      <c r="Q41" s="28"/>
      <c r="S41" s="1185"/>
      <c r="U41" s="27"/>
    </row>
    <row r="42" spans="1:22" ht="84.65" customHeight="1">
      <c r="A42" s="1207"/>
      <c r="B42" s="12"/>
      <c r="C42" s="53" t="s">
        <v>117</v>
      </c>
      <c r="D42" s="64" t="e">
        <f>(D40/VLOOKUP(A40,#REF!,4,0))*100</f>
        <v>#REF!</v>
      </c>
      <c r="E42" s="104"/>
      <c r="F42" s="1222"/>
      <c r="G42" s="81"/>
      <c r="H42" s="1186"/>
      <c r="I42" s="12"/>
      <c r="J42" s="53" t="s">
        <v>117</v>
      </c>
      <c r="K42" s="87"/>
      <c r="L42" s="75" t="e">
        <f>(L40/VLOOKUP(A40,#REF!,4,0))*100</f>
        <v>#REF!</v>
      </c>
      <c r="M42" s="1192"/>
      <c r="N42" s="12"/>
      <c r="O42" s="53" t="s">
        <v>117</v>
      </c>
      <c r="P42" s="17"/>
      <c r="Q42" s="19"/>
      <c r="R42" s="1"/>
      <c r="S42" s="1186"/>
      <c r="T42" s="1"/>
      <c r="U42" s="26"/>
    </row>
    <row r="43" spans="1:22">
      <c r="A43" s="150"/>
      <c r="B43" s="35"/>
      <c r="C43" s="45"/>
      <c r="D43" s="151"/>
      <c r="E43" s="183"/>
      <c r="F43" s="37"/>
      <c r="G43" s="153"/>
      <c r="H43" s="179"/>
      <c r="I43" s="35"/>
      <c r="J43" s="45"/>
      <c r="K43" s="42"/>
      <c r="L43" s="154"/>
      <c r="N43" s="35"/>
      <c r="O43" s="45"/>
      <c r="P43" s="151"/>
      <c r="Q43" s="184"/>
      <c r="R43" s="55"/>
      <c r="S43" s="179"/>
      <c r="T43" s="55"/>
      <c r="U43" s="180"/>
    </row>
    <row r="44" spans="1:22" s="2" customFormat="1" ht="13">
      <c r="A44" s="182" t="s">
        <v>136</v>
      </c>
      <c r="B44" s="230"/>
      <c r="C44" s="182"/>
      <c r="D44" s="231"/>
      <c r="E44" s="232"/>
      <c r="F44" s="230"/>
      <c r="G44" s="230"/>
      <c r="H44" s="233"/>
      <c r="I44" s="230"/>
      <c r="J44" s="233"/>
      <c r="K44" s="230"/>
      <c r="L44" s="234"/>
      <c r="M44" s="233"/>
      <c r="N44" s="230"/>
      <c r="O44" s="233"/>
      <c r="P44" s="235"/>
      <c r="Q44" s="233"/>
      <c r="R44" s="52"/>
      <c r="S44" s="12"/>
      <c r="T44" s="52"/>
      <c r="U44" s="226"/>
    </row>
    <row r="45" spans="1:22" ht="59.15" customHeight="1">
      <c r="A45" s="1205" t="s">
        <v>9</v>
      </c>
      <c r="B45" s="35"/>
      <c r="C45" s="92" t="s">
        <v>115</v>
      </c>
      <c r="D45" s="121">
        <v>350</v>
      </c>
      <c r="E45" s="103"/>
      <c r="F45" s="1233" t="s">
        <v>143</v>
      </c>
      <c r="G45" s="103">
        <v>200</v>
      </c>
      <c r="H45" s="1190" t="s">
        <v>187</v>
      </c>
      <c r="I45" s="35"/>
      <c r="J45" s="92" t="s">
        <v>115</v>
      </c>
      <c r="K45" s="212"/>
      <c r="L45" s="77"/>
      <c r="M45" s="1184" t="s">
        <v>144</v>
      </c>
      <c r="N45" s="35"/>
      <c r="O45" s="175" t="s">
        <v>115</v>
      </c>
      <c r="P45" s="103">
        <v>350</v>
      </c>
      <c r="Q45" s="1184" t="s">
        <v>103</v>
      </c>
      <c r="R45" s="55"/>
      <c r="S45" s="58"/>
      <c r="T45" s="55"/>
      <c r="U45" s="58">
        <f>300/D46*350</f>
        <v>19444.444444444442</v>
      </c>
    </row>
    <row r="46" spans="1:22" ht="59.15" customHeight="1">
      <c r="A46" s="1206"/>
      <c r="B46" s="35"/>
      <c r="C46" s="92" t="s">
        <v>199</v>
      </c>
      <c r="D46" s="63">
        <v>5.4</v>
      </c>
      <c r="E46" s="103"/>
      <c r="F46" s="1247"/>
      <c r="G46" s="94"/>
      <c r="H46" s="1191"/>
      <c r="I46" s="35"/>
      <c r="J46" s="92" t="s">
        <v>116</v>
      </c>
      <c r="K46" s="86"/>
      <c r="L46" s="74"/>
      <c r="M46" s="1185"/>
      <c r="N46" s="35"/>
      <c r="O46" s="175" t="s">
        <v>273</v>
      </c>
      <c r="P46" s="63">
        <v>5.4</v>
      </c>
      <c r="Q46" s="1185"/>
      <c r="S46" s="28" t="s">
        <v>152</v>
      </c>
      <c r="U46" s="27"/>
    </row>
    <row r="47" spans="1:22" ht="66.650000000000006" customHeight="1">
      <c r="A47" s="1207"/>
      <c r="B47" s="12"/>
      <c r="C47" s="53" t="s">
        <v>117</v>
      </c>
      <c r="D47" s="64" t="e">
        <f>(D45/VLOOKUP("Argentina",#REF!,4,0))*100</f>
        <v>#REF!</v>
      </c>
      <c r="E47" s="104"/>
      <c r="F47" s="1248"/>
      <c r="G47" s="81"/>
      <c r="H47" s="1192"/>
      <c r="I47" s="12"/>
      <c r="J47" s="53" t="s">
        <v>117</v>
      </c>
      <c r="K47" s="87"/>
      <c r="L47" s="75"/>
      <c r="M47" s="1186"/>
      <c r="N47" s="12"/>
      <c r="O47" s="53" t="s">
        <v>117</v>
      </c>
      <c r="P47" s="64" t="e">
        <f>(P45/VLOOKUP("Argentina",#REF!,4,0))*100</f>
        <v>#REF!</v>
      </c>
      <c r="Q47" s="1186"/>
      <c r="R47" s="1"/>
      <c r="S47" s="19"/>
      <c r="T47" s="1"/>
      <c r="U47" s="26"/>
    </row>
    <row r="48" spans="1:22" ht="67.5" customHeight="1">
      <c r="A48" s="1205" t="s">
        <v>10</v>
      </c>
      <c r="B48" s="16"/>
      <c r="C48" s="92" t="s">
        <v>115</v>
      </c>
      <c r="D48" s="102">
        <v>205</v>
      </c>
      <c r="E48" s="102">
        <v>20</v>
      </c>
      <c r="F48" s="1220" t="s">
        <v>171</v>
      </c>
      <c r="G48" s="102"/>
      <c r="H48" s="1193" t="s">
        <v>172</v>
      </c>
      <c r="I48" s="16"/>
      <c r="J48" s="92" t="s">
        <v>115</v>
      </c>
      <c r="K48" s="88">
        <v>264</v>
      </c>
      <c r="L48" s="122">
        <v>230</v>
      </c>
      <c r="M48" s="1190" t="s">
        <v>104</v>
      </c>
      <c r="N48" s="16"/>
      <c r="O48" s="175" t="s">
        <v>115</v>
      </c>
      <c r="P48" s="102">
        <v>34</v>
      </c>
      <c r="Q48" s="1184" t="s">
        <v>105</v>
      </c>
      <c r="R48" s="15"/>
      <c r="S48" s="1184" t="s">
        <v>75</v>
      </c>
      <c r="T48" s="15"/>
      <c r="U48" s="22"/>
    </row>
    <row r="49" spans="1:21" ht="80.150000000000006" customHeight="1">
      <c r="A49" s="1206"/>
      <c r="B49" s="35"/>
      <c r="C49" s="92" t="s">
        <v>116</v>
      </c>
      <c r="D49" s="129" t="e">
        <f>D48/VLOOKUP(A48,#REF!,7,0)</f>
        <v>#REF!</v>
      </c>
      <c r="E49" s="103"/>
      <c r="F49" s="1221"/>
      <c r="G49" s="94"/>
      <c r="H49" s="1196"/>
      <c r="I49" s="35"/>
      <c r="J49" s="92" t="s">
        <v>116</v>
      </c>
      <c r="K49" s="86"/>
      <c r="L49" s="128" t="e">
        <f>L48/VLOOKUP(A48,#REF!,7,0)</f>
        <v>#REF!</v>
      </c>
      <c r="M49" s="1191"/>
      <c r="N49" s="35"/>
      <c r="O49" s="175" t="s">
        <v>116</v>
      </c>
      <c r="P49" s="63" t="e">
        <f>P48/VLOOKUP(A48,#REF!,7,0)</f>
        <v>#REF!</v>
      </c>
      <c r="Q49" s="1185"/>
      <c r="S49" s="1185"/>
      <c r="U49" s="27"/>
    </row>
    <row r="50" spans="1:21" ht="73.5" customHeight="1">
      <c r="A50" s="1207"/>
      <c r="B50" s="35"/>
      <c r="C50" s="175" t="s">
        <v>117</v>
      </c>
      <c r="D50" s="63" t="e">
        <f>(D48/VLOOKUP(A48,#REF!,4,0))*100</f>
        <v>#REF!</v>
      </c>
      <c r="E50" s="103"/>
      <c r="F50" s="1222"/>
      <c r="G50" s="217"/>
      <c r="H50" s="1197"/>
      <c r="I50" s="35"/>
      <c r="J50" s="175" t="s">
        <v>117</v>
      </c>
      <c r="K50" s="212"/>
      <c r="L50" s="74" t="e">
        <f>(L48/VLOOKUP(A48,#REF!,4,0))*100</f>
        <v>#REF!</v>
      </c>
      <c r="M50" s="1192"/>
      <c r="N50" s="35"/>
      <c r="O50" s="175" t="s">
        <v>117</v>
      </c>
      <c r="P50" s="63" t="e">
        <f>(P48/VLOOKUP(A48,#REF!,4,0))*100</f>
        <v>#REF!</v>
      </c>
      <c r="Q50" s="1186"/>
      <c r="R50" s="55"/>
      <c r="S50" s="1186"/>
      <c r="T50" s="55"/>
      <c r="U50" s="219"/>
    </row>
    <row r="51" spans="1:21" s="224" customFormat="1" ht="89.15" customHeight="1">
      <c r="A51" s="1199" t="s">
        <v>11</v>
      </c>
      <c r="C51" s="38" t="s">
        <v>115</v>
      </c>
      <c r="D51" s="186">
        <v>2560</v>
      </c>
      <c r="E51" s="209">
        <v>110</v>
      </c>
      <c r="F51" s="1220" t="s">
        <v>121</v>
      </c>
      <c r="G51" s="209">
        <v>2390</v>
      </c>
      <c r="H51" s="1190" t="s">
        <v>173</v>
      </c>
      <c r="J51" s="38" t="s">
        <v>115</v>
      </c>
      <c r="K51" s="209"/>
      <c r="L51" s="79"/>
      <c r="M51" s="222"/>
      <c r="O51" s="38" t="s">
        <v>115</v>
      </c>
      <c r="P51" s="216"/>
      <c r="Q51" s="222"/>
      <c r="S51" s="1184" t="s">
        <v>76</v>
      </c>
      <c r="U51" s="205"/>
    </row>
    <row r="52" spans="1:21" ht="87" customHeight="1">
      <c r="A52" s="1200"/>
      <c r="B52" s="35"/>
      <c r="C52" s="92" t="s">
        <v>116</v>
      </c>
      <c r="D52" s="129" t="e">
        <f>D51/VLOOKUP(A51,#REF!,7,0)</f>
        <v>#REF!</v>
      </c>
      <c r="E52" s="90"/>
      <c r="F52" s="1221"/>
      <c r="G52" s="94"/>
      <c r="H52" s="1191"/>
      <c r="I52" s="35"/>
      <c r="J52" s="92" t="s">
        <v>116</v>
      </c>
      <c r="K52" s="86"/>
      <c r="L52" s="74"/>
      <c r="M52" s="36"/>
      <c r="N52" s="35"/>
      <c r="O52" s="175" t="s">
        <v>116</v>
      </c>
      <c r="P52" s="82"/>
      <c r="Q52" s="28"/>
      <c r="S52" s="1185"/>
      <c r="U52" s="27"/>
    </row>
    <row r="53" spans="1:21" ht="92.15" customHeight="1">
      <c r="A53" s="1200"/>
      <c r="B53" s="35"/>
      <c r="C53" s="175" t="s">
        <v>117</v>
      </c>
      <c r="D53" s="63" t="e">
        <f>(D51/VLOOKUP(A51,#REF!,4,0))*100</f>
        <v>#REF!</v>
      </c>
      <c r="E53" s="210"/>
      <c r="F53" s="1221"/>
      <c r="G53" s="217"/>
      <c r="H53" s="1191"/>
      <c r="I53" s="35"/>
      <c r="J53" s="175" t="s">
        <v>117</v>
      </c>
      <c r="K53" s="212"/>
      <c r="L53" s="74"/>
      <c r="M53" s="58"/>
      <c r="N53" s="35"/>
      <c r="O53" s="175" t="s">
        <v>117</v>
      </c>
      <c r="P53" s="82"/>
      <c r="Q53" s="206"/>
      <c r="R53" s="55"/>
      <c r="S53" s="1185"/>
      <c r="T53" s="55"/>
      <c r="U53" s="219"/>
    </row>
    <row r="54" spans="1:21" s="224" customFormat="1" ht="78" customHeight="1">
      <c r="A54" s="1199" t="s">
        <v>12</v>
      </c>
      <c r="C54" s="38" t="s">
        <v>115</v>
      </c>
      <c r="D54" s="186">
        <v>1570</v>
      </c>
      <c r="E54" s="209">
        <v>150</v>
      </c>
      <c r="F54" s="1220" t="s">
        <v>205</v>
      </c>
      <c r="G54" s="209">
        <v>1700</v>
      </c>
      <c r="H54" s="1190" t="s">
        <v>206</v>
      </c>
      <c r="J54" s="38" t="s">
        <v>115</v>
      </c>
      <c r="K54" s="209"/>
      <c r="L54" s="79"/>
      <c r="M54" s="205"/>
      <c r="O54" s="38" t="s">
        <v>115</v>
      </c>
      <c r="P54" s="216"/>
      <c r="Q54" s="205"/>
      <c r="S54" s="205"/>
      <c r="U54" s="1225" t="s">
        <v>57</v>
      </c>
    </row>
    <row r="55" spans="1:21" s="10" customFormat="1" ht="90" customHeight="1">
      <c r="A55" s="1200"/>
      <c r="B55" s="85"/>
      <c r="C55" s="92" t="s">
        <v>116</v>
      </c>
      <c r="D55" s="129" t="e">
        <f>D54/VLOOKUP(A54,#REF!,7,0)</f>
        <v>#REF!</v>
      </c>
      <c r="E55" s="96">
        <v>0.1</v>
      </c>
      <c r="F55" s="1221"/>
      <c r="G55" s="96">
        <v>0.8</v>
      </c>
      <c r="H55" s="1191"/>
      <c r="J55" s="92" t="s">
        <v>116</v>
      </c>
      <c r="K55" s="90"/>
      <c r="L55" s="73"/>
      <c r="M55" s="28"/>
      <c r="N55" s="203"/>
      <c r="O55" s="175" t="s">
        <v>116</v>
      </c>
      <c r="P55" s="69"/>
      <c r="Q55" s="28"/>
      <c r="S55" s="28"/>
      <c r="U55" s="1226"/>
    </row>
    <row r="56" spans="1:21" ht="191.5" customHeight="1">
      <c r="A56" s="1201"/>
      <c r="B56" s="35"/>
      <c r="C56" s="175" t="s">
        <v>117</v>
      </c>
      <c r="D56" s="63" t="e">
        <f>(D54/VLOOKUP(A54,#REF!,4,0))*100</f>
        <v>#REF!</v>
      </c>
      <c r="E56" s="228"/>
      <c r="F56" s="215"/>
      <c r="G56" s="217"/>
      <c r="H56" s="1192"/>
      <c r="I56" s="35"/>
      <c r="J56" s="175" t="s">
        <v>117</v>
      </c>
      <c r="K56" s="212"/>
      <c r="L56" s="74"/>
      <c r="M56" s="58"/>
      <c r="N56" s="35"/>
      <c r="O56" s="175" t="s">
        <v>117</v>
      </c>
      <c r="P56" s="82"/>
      <c r="Q56" s="206"/>
      <c r="R56" s="55"/>
      <c r="S56" s="206"/>
      <c r="T56" s="55"/>
      <c r="U56" s="1227"/>
    </row>
    <row r="57" spans="1:21" s="224" customFormat="1" ht="73.5" customHeight="1">
      <c r="A57" s="1199" t="s">
        <v>13</v>
      </c>
      <c r="C57" s="38" t="s">
        <v>115</v>
      </c>
      <c r="D57" s="185">
        <v>289000</v>
      </c>
      <c r="E57" s="209">
        <v>76000</v>
      </c>
      <c r="F57" s="1184" t="s">
        <v>162</v>
      </c>
      <c r="G57" s="209">
        <v>213000</v>
      </c>
      <c r="H57" s="1190" t="s">
        <v>161</v>
      </c>
      <c r="J57" s="38" t="s">
        <v>115</v>
      </c>
      <c r="K57" s="227"/>
      <c r="L57" s="80"/>
      <c r="M57" s="208"/>
      <c r="O57" s="38" t="s">
        <v>115</v>
      </c>
      <c r="P57" s="186">
        <v>150000</v>
      </c>
      <c r="Q57" s="1190" t="s">
        <v>150</v>
      </c>
      <c r="S57" s="205"/>
      <c r="U57" s="205"/>
    </row>
    <row r="58" spans="1:21" s="10" customFormat="1" ht="100" customHeight="1">
      <c r="A58" s="1200"/>
      <c r="B58" s="85"/>
      <c r="C58" s="92" t="s">
        <v>116</v>
      </c>
      <c r="D58" s="129" t="e">
        <f>D57/VLOOKUP(A57,#REF!,7,0)</f>
        <v>#REF!</v>
      </c>
      <c r="E58" s="90"/>
      <c r="F58" s="1185"/>
      <c r="G58" s="90"/>
      <c r="H58" s="1191"/>
      <c r="J58" s="92" t="s">
        <v>116</v>
      </c>
      <c r="K58" s="90"/>
      <c r="L58" s="74"/>
      <c r="M58" s="60"/>
      <c r="N58" s="203"/>
      <c r="O58" s="175" t="s">
        <v>116</v>
      </c>
      <c r="P58" s="69" t="e">
        <f>P57/#REF!</f>
        <v>#REF!</v>
      </c>
      <c r="Q58" s="1191"/>
      <c r="S58" s="28"/>
      <c r="U58" s="28"/>
    </row>
    <row r="59" spans="1:21" s="2" customFormat="1" ht="121.5" customHeight="1">
      <c r="A59" s="1201"/>
      <c r="B59" s="12"/>
      <c r="C59" s="53" t="s">
        <v>117</v>
      </c>
      <c r="D59" s="64" t="e">
        <f>(D57/VLOOKUP(A57,#REF!,4,0))*100</f>
        <v>#REF!</v>
      </c>
      <c r="E59" s="97"/>
      <c r="F59" s="1186"/>
      <c r="G59" s="81"/>
      <c r="H59" s="1192"/>
      <c r="I59" s="12"/>
      <c r="J59" s="53" t="s">
        <v>117</v>
      </c>
      <c r="K59" s="87"/>
      <c r="L59" s="75"/>
      <c r="M59" s="59"/>
      <c r="N59" s="12"/>
      <c r="O59" s="53" t="s">
        <v>117</v>
      </c>
      <c r="P59" s="17" t="e">
        <f>P57/#REF!*100</f>
        <v>#REF!</v>
      </c>
      <c r="Q59" s="1192"/>
      <c r="R59" s="1"/>
      <c r="S59" s="192" t="s">
        <v>160</v>
      </c>
      <c r="T59" s="1"/>
      <c r="U59" s="26"/>
    </row>
    <row r="60" spans="1:21" s="37" customFormat="1" ht="42" customHeight="1">
      <c r="A60" s="1199" t="s">
        <v>14</v>
      </c>
      <c r="C60" s="92" t="s">
        <v>115</v>
      </c>
      <c r="D60" s="121">
        <v>180</v>
      </c>
      <c r="E60" s="90"/>
      <c r="F60" s="1233" t="s">
        <v>224</v>
      </c>
      <c r="G60" s="90"/>
      <c r="H60" s="1190" t="s">
        <v>190</v>
      </c>
      <c r="J60" s="92" t="s">
        <v>115</v>
      </c>
      <c r="K60" s="90"/>
      <c r="L60" s="120">
        <v>75</v>
      </c>
      <c r="M60" s="1184" t="s">
        <v>223</v>
      </c>
      <c r="O60" s="175" t="s">
        <v>115</v>
      </c>
      <c r="P60" s="69"/>
      <c r="Q60" s="28"/>
      <c r="S60" s="1184" t="s">
        <v>77</v>
      </c>
      <c r="U60" s="1225" t="s">
        <v>58</v>
      </c>
    </row>
    <row r="61" spans="1:21" s="37" customFormat="1" ht="37.5" customHeight="1">
      <c r="A61" s="1200"/>
      <c r="C61" s="92" t="s">
        <v>116</v>
      </c>
      <c r="D61" s="63" t="e">
        <f>D60/VLOOKUP(A60,#REF!,7,0)</f>
        <v>#REF!</v>
      </c>
      <c r="E61" s="90"/>
      <c r="F61" s="1247"/>
      <c r="G61" s="90"/>
      <c r="H61" s="1191"/>
      <c r="J61" s="92" t="s">
        <v>116</v>
      </c>
      <c r="K61" s="90"/>
      <c r="L61" s="130" t="e">
        <f>L60/VLOOKUP(A60,#REF!,7,0)</f>
        <v>#REF!</v>
      </c>
      <c r="M61" s="1185"/>
      <c r="O61" s="175" t="s">
        <v>116</v>
      </c>
      <c r="P61" s="69"/>
      <c r="Q61" s="28"/>
      <c r="S61" s="1185"/>
      <c r="U61" s="1226"/>
    </row>
    <row r="62" spans="1:21" s="4" customFormat="1" ht="50.5" customHeight="1">
      <c r="A62" s="1201"/>
      <c r="B62" s="61"/>
      <c r="C62" s="53" t="s">
        <v>117</v>
      </c>
      <c r="D62" s="64" t="e">
        <f>(D60/VLOOKUP(A60,#REF!,4,0))*100</f>
        <v>#REF!</v>
      </c>
      <c r="E62" s="91"/>
      <c r="F62" s="1248"/>
      <c r="G62" s="91"/>
      <c r="H62" s="1192"/>
      <c r="J62" s="53" t="s">
        <v>117</v>
      </c>
      <c r="K62" s="91"/>
      <c r="L62" s="131" t="e">
        <f>(L60/VLOOKUP(A60,#REF!,4,0))*100</f>
        <v>#REF!</v>
      </c>
      <c r="M62" s="1186"/>
      <c r="N62" s="61"/>
      <c r="O62" s="53" t="s">
        <v>117</v>
      </c>
      <c r="P62" s="81"/>
      <c r="Q62" s="19"/>
      <c r="S62" s="1186"/>
      <c r="U62" s="1227"/>
    </row>
    <row r="63" spans="1:21" s="10" customFormat="1" ht="104.5" customHeight="1">
      <c r="A63" s="1199" t="s">
        <v>15</v>
      </c>
      <c r="B63" s="95"/>
      <c r="C63" s="92" t="s">
        <v>115</v>
      </c>
      <c r="D63" s="119">
        <v>900</v>
      </c>
      <c r="E63" s="89">
        <v>78.400000000000006</v>
      </c>
      <c r="F63" s="1184" t="s">
        <v>145</v>
      </c>
      <c r="G63" s="89"/>
      <c r="H63" s="1184" t="s">
        <v>174</v>
      </c>
      <c r="I63" s="13"/>
      <c r="J63" s="92" t="s">
        <v>115</v>
      </c>
      <c r="K63" s="89"/>
      <c r="L63" s="193">
        <v>570</v>
      </c>
      <c r="M63" s="1190" t="s">
        <v>225</v>
      </c>
      <c r="N63" s="202"/>
      <c r="O63" s="175" t="s">
        <v>115</v>
      </c>
      <c r="P63" s="121"/>
      <c r="Q63" s="1187"/>
      <c r="R63" s="13"/>
      <c r="S63" s="18"/>
      <c r="T63" s="13"/>
      <c r="U63" s="18"/>
    </row>
    <row r="64" spans="1:21" s="10" customFormat="1" ht="101.5" customHeight="1">
      <c r="A64" s="1200"/>
      <c r="B64" s="85"/>
      <c r="C64" s="92" t="s">
        <v>116</v>
      </c>
      <c r="D64" s="129" t="e">
        <f>D63/VLOOKUP(A63,#REF!,7,0)</f>
        <v>#REF!</v>
      </c>
      <c r="E64" s="90"/>
      <c r="F64" s="1185"/>
      <c r="G64" s="90"/>
      <c r="H64" s="1185"/>
      <c r="J64" s="92" t="s">
        <v>116</v>
      </c>
      <c r="K64" s="90"/>
      <c r="L64" s="74" t="e">
        <f>L63/VLOOKUP(A63,#REF!,7,0)</f>
        <v>#REF!</v>
      </c>
      <c r="M64" s="1191"/>
      <c r="N64" s="203"/>
      <c r="O64" s="175" t="s">
        <v>116</v>
      </c>
      <c r="P64" s="63"/>
      <c r="Q64" s="1188"/>
      <c r="S64" s="28"/>
      <c r="U64" s="28"/>
    </row>
    <row r="65" spans="1:21" ht="110.15" customHeight="1">
      <c r="A65" s="1201"/>
      <c r="B65" s="35"/>
      <c r="C65" s="175" t="s">
        <v>117</v>
      </c>
      <c r="D65" s="63" t="e">
        <f>(D63/VLOOKUP(A63,#REF!,4,0))*100</f>
        <v>#REF!</v>
      </c>
      <c r="E65" s="228"/>
      <c r="F65" s="1186"/>
      <c r="G65" s="217"/>
      <c r="H65" s="1186"/>
      <c r="I65" s="35"/>
      <c r="J65" s="175" t="s">
        <v>117</v>
      </c>
      <c r="K65" s="212"/>
      <c r="L65" s="74" t="e">
        <f>(L63/VLOOKUP(A63,#REF!,4,0))*100</f>
        <v>#REF!</v>
      </c>
      <c r="M65" s="1192"/>
      <c r="N65" s="35"/>
      <c r="O65" s="175" t="s">
        <v>117</v>
      </c>
      <c r="P65" s="63"/>
      <c r="Q65" s="1189"/>
      <c r="R65" s="55"/>
      <c r="S65" s="206"/>
      <c r="T65" s="55"/>
      <c r="U65" s="219"/>
    </row>
    <row r="66" spans="1:21" s="224" customFormat="1" ht="43" customHeight="1">
      <c r="A66" s="1199" t="s">
        <v>16</v>
      </c>
      <c r="C66" s="38" t="s">
        <v>115</v>
      </c>
      <c r="D66" s="177" t="s">
        <v>84</v>
      </c>
      <c r="E66" s="209">
        <v>10</v>
      </c>
      <c r="F66" s="1184" t="s">
        <v>181</v>
      </c>
      <c r="G66" s="209"/>
      <c r="H66" s="1184" t="s">
        <v>226</v>
      </c>
      <c r="J66" s="38" t="s">
        <v>115</v>
      </c>
      <c r="K66" s="209">
        <v>22</v>
      </c>
      <c r="L66" s="117">
        <v>22</v>
      </c>
      <c r="M66" s="1184" t="s">
        <v>227</v>
      </c>
      <c r="O66" s="38" t="s">
        <v>115</v>
      </c>
      <c r="P66" s="216"/>
      <c r="Q66" s="205"/>
      <c r="S66" s="205"/>
      <c r="U66" s="1225" t="s">
        <v>59</v>
      </c>
    </row>
    <row r="67" spans="1:21" s="10" customFormat="1" ht="59.5" customHeight="1">
      <c r="A67" s="1200"/>
      <c r="B67" s="85"/>
      <c r="C67" s="92" t="s">
        <v>116</v>
      </c>
      <c r="D67" s="63"/>
      <c r="E67" s="90"/>
      <c r="F67" s="1185"/>
      <c r="G67" s="90"/>
      <c r="H67" s="1185"/>
      <c r="J67" s="92" t="s">
        <v>116</v>
      </c>
      <c r="K67" s="90"/>
      <c r="L67" s="74" t="e">
        <f>L66/VLOOKUP(A66,#REF!,7,0)</f>
        <v>#REF!</v>
      </c>
      <c r="M67" s="1185"/>
      <c r="N67" s="203"/>
      <c r="O67" s="175" t="s">
        <v>116</v>
      </c>
      <c r="P67" s="69"/>
      <c r="Q67" s="28"/>
      <c r="S67" s="28"/>
      <c r="U67" s="1226"/>
    </row>
    <row r="68" spans="1:21" ht="59.5" customHeight="1">
      <c r="A68" s="1201"/>
      <c r="B68" s="12"/>
      <c r="C68" s="53" t="s">
        <v>117</v>
      </c>
      <c r="D68" s="64"/>
      <c r="E68" s="97"/>
      <c r="F68" s="1186"/>
      <c r="G68" s="81"/>
      <c r="H68" s="1186"/>
      <c r="I68" s="12"/>
      <c r="J68" s="53" t="s">
        <v>117</v>
      </c>
      <c r="K68" s="87"/>
      <c r="L68" s="75" t="e">
        <f>(L66/VLOOKUP(A66,#REF!,4,0))*100</f>
        <v>#REF!</v>
      </c>
      <c r="M68" s="1186"/>
      <c r="N68" s="12"/>
      <c r="O68" s="53" t="s">
        <v>117</v>
      </c>
      <c r="P68" s="17"/>
      <c r="Q68" s="19"/>
      <c r="R68" s="1"/>
      <c r="S68" s="19"/>
      <c r="T68" s="1"/>
      <c r="U68" s="26"/>
    </row>
    <row r="69" spans="1:21" s="10" customFormat="1" ht="60" customHeight="1">
      <c r="A69" s="1199" t="s">
        <v>17</v>
      </c>
      <c r="B69" s="95"/>
      <c r="C69" s="92" t="s">
        <v>115</v>
      </c>
      <c r="D69" s="149" t="s">
        <v>84</v>
      </c>
      <c r="E69" s="1249"/>
      <c r="F69" s="1184" t="s">
        <v>176</v>
      </c>
      <c r="G69" s="89"/>
      <c r="H69" s="1190" t="s">
        <v>268</v>
      </c>
      <c r="I69" s="13"/>
      <c r="J69" s="92" t="s">
        <v>115</v>
      </c>
      <c r="K69" s="89"/>
      <c r="L69" s="79">
        <v>30.15</v>
      </c>
      <c r="M69" s="1184" t="s">
        <v>228</v>
      </c>
      <c r="N69" s="202"/>
      <c r="O69" s="175" t="s">
        <v>115</v>
      </c>
      <c r="P69" s="66"/>
      <c r="Q69" s="18"/>
      <c r="R69" s="13"/>
      <c r="S69" s="18"/>
      <c r="T69" s="13"/>
      <c r="U69" s="18"/>
    </row>
    <row r="70" spans="1:21" s="10" customFormat="1" ht="60" customHeight="1">
      <c r="A70" s="1200"/>
      <c r="B70" s="85"/>
      <c r="C70" s="92" t="s">
        <v>116</v>
      </c>
      <c r="D70" s="63"/>
      <c r="E70" s="1250"/>
      <c r="F70" s="1185"/>
      <c r="G70" s="90"/>
      <c r="H70" s="1191"/>
      <c r="J70" s="92" t="s">
        <v>116</v>
      </c>
      <c r="K70" s="90"/>
      <c r="L70" s="74" t="e">
        <f>L69/VLOOKUP(A69,#REF!,7,0)</f>
        <v>#REF!</v>
      </c>
      <c r="M70" s="1185"/>
      <c r="N70" s="203"/>
      <c r="O70" s="175" t="s">
        <v>116</v>
      </c>
      <c r="P70" s="69"/>
      <c r="Q70" s="28"/>
      <c r="S70" s="28"/>
      <c r="U70" s="28"/>
    </row>
    <row r="71" spans="1:21" ht="60" customHeight="1">
      <c r="A71" s="1201"/>
      <c r="B71" s="12"/>
      <c r="C71" s="53" t="s">
        <v>117</v>
      </c>
      <c r="D71" s="64"/>
      <c r="E71" s="97"/>
      <c r="F71" s="1186"/>
      <c r="G71" s="81"/>
      <c r="H71" s="1192"/>
      <c r="I71" s="12"/>
      <c r="J71" s="53" t="s">
        <v>117</v>
      </c>
      <c r="K71" s="87"/>
      <c r="L71" s="75" t="e">
        <f>(L69/VLOOKUP(A69,#REF!,4,0))*100</f>
        <v>#REF!</v>
      </c>
      <c r="M71" s="1186"/>
      <c r="N71" s="12"/>
      <c r="O71" s="53" t="s">
        <v>117</v>
      </c>
      <c r="P71" s="17"/>
      <c r="Q71" s="19"/>
      <c r="R71" s="1"/>
      <c r="S71" s="19"/>
      <c r="T71" s="1"/>
      <c r="U71" s="26"/>
    </row>
    <row r="72" spans="1:21" s="37" customFormat="1" ht="50.15" customHeight="1">
      <c r="A72" s="1199" t="s">
        <v>18</v>
      </c>
      <c r="B72" s="14"/>
      <c r="C72" s="92" t="s">
        <v>115</v>
      </c>
      <c r="D72" s="93">
        <v>75</v>
      </c>
      <c r="E72" s="1199"/>
      <c r="F72" s="20"/>
      <c r="G72" s="1199">
        <v>75</v>
      </c>
      <c r="H72" s="1190" t="s">
        <v>175</v>
      </c>
      <c r="I72" s="14"/>
      <c r="J72" s="92" t="s">
        <v>115</v>
      </c>
      <c r="K72" s="89">
        <v>25</v>
      </c>
      <c r="L72" s="79"/>
      <c r="M72" s="1184" t="s">
        <v>146</v>
      </c>
      <c r="N72" s="14"/>
      <c r="O72" s="175" t="s">
        <v>115</v>
      </c>
      <c r="P72" s="177">
        <v>25</v>
      </c>
      <c r="Q72" s="1184" t="s">
        <v>229</v>
      </c>
      <c r="R72" s="14"/>
      <c r="S72" s="18"/>
      <c r="T72" s="14"/>
      <c r="U72" s="18"/>
    </row>
    <row r="73" spans="1:21" s="37" customFormat="1" ht="50.15" customHeight="1">
      <c r="A73" s="1200"/>
      <c r="C73" s="92" t="s">
        <v>116</v>
      </c>
      <c r="D73" s="63" t="e">
        <f>D72/VLOOKUP(A72,#REF!,7,0)</f>
        <v>#REF!</v>
      </c>
      <c r="E73" s="1200"/>
      <c r="F73" s="30"/>
      <c r="G73" s="1200"/>
      <c r="H73" s="1191"/>
      <c r="J73" s="92" t="s">
        <v>116</v>
      </c>
      <c r="K73" s="90"/>
      <c r="L73" s="73"/>
      <c r="M73" s="1185"/>
      <c r="O73" s="175" t="s">
        <v>116</v>
      </c>
      <c r="P73" s="63" t="e">
        <f>P72/VLOOKUP(A72,#REF!,7,0)</f>
        <v>#REF!</v>
      </c>
      <c r="Q73" s="1185"/>
      <c r="S73" s="28"/>
      <c r="U73" s="28"/>
    </row>
    <row r="74" spans="1:21" ht="50.15" customHeight="1">
      <c r="A74" s="1201"/>
      <c r="B74" s="12"/>
      <c r="C74" s="53" t="s">
        <v>117</v>
      </c>
      <c r="D74" s="64" t="e">
        <f>(D72/VLOOKUP(A72,#REF!,4,0))*100</f>
        <v>#REF!</v>
      </c>
      <c r="E74" s="97"/>
      <c r="F74" s="21"/>
      <c r="G74" s="81"/>
      <c r="H74" s="1192"/>
      <c r="I74" s="12"/>
      <c r="J74" s="53" t="s">
        <v>117</v>
      </c>
      <c r="K74" s="87"/>
      <c r="L74" s="75"/>
      <c r="M74" s="1186"/>
      <c r="N74" s="12"/>
      <c r="O74" s="53" t="s">
        <v>117</v>
      </c>
      <c r="P74" s="64" t="e">
        <f>(P72/VLOOKUP(A72,#REF!,4,0))*100</f>
        <v>#REF!</v>
      </c>
      <c r="Q74" s="1186"/>
      <c r="R74" s="1"/>
      <c r="S74" s="19"/>
      <c r="T74" s="1"/>
      <c r="U74" s="26"/>
    </row>
    <row r="75" spans="1:21">
      <c r="G75" s="42"/>
    </row>
    <row r="76" spans="1:21" ht="13">
      <c r="A76" s="108" t="s">
        <v>134</v>
      </c>
      <c r="B76" s="109"/>
      <c r="C76" s="108"/>
      <c r="D76" s="110"/>
      <c r="E76" s="111"/>
      <c r="F76" s="109"/>
      <c r="G76" s="112"/>
      <c r="H76" s="113"/>
      <c r="I76" s="109"/>
      <c r="J76" s="113"/>
      <c r="K76" s="109"/>
      <c r="L76" s="114"/>
      <c r="M76" s="113"/>
      <c r="N76" s="109"/>
      <c r="O76" s="113"/>
      <c r="P76" s="115"/>
      <c r="Q76" s="113"/>
    </row>
    <row r="77" spans="1:21" s="10" customFormat="1" ht="80.5" customHeight="1">
      <c r="A77" s="1206" t="s">
        <v>19</v>
      </c>
      <c r="B77" s="85"/>
      <c r="C77" s="50" t="s">
        <v>115</v>
      </c>
      <c r="D77" s="118">
        <v>60</v>
      </c>
      <c r="E77" s="49"/>
      <c r="F77" s="1221" t="s">
        <v>96</v>
      </c>
      <c r="G77" s="90"/>
      <c r="H77" s="1216" t="s">
        <v>177</v>
      </c>
      <c r="J77" s="175" t="s">
        <v>115</v>
      </c>
      <c r="K77" s="28"/>
      <c r="L77" s="73"/>
      <c r="M77" s="1219"/>
      <c r="N77" s="203"/>
      <c r="O77" s="175" t="s">
        <v>115</v>
      </c>
      <c r="P77" s="118">
        <v>65</v>
      </c>
      <c r="Q77" s="1185" t="s">
        <v>147</v>
      </c>
      <c r="S77" s="1185" t="s">
        <v>109</v>
      </c>
      <c r="U77" s="27" t="s">
        <v>44</v>
      </c>
    </row>
    <row r="78" spans="1:21" ht="90" customHeight="1">
      <c r="A78" s="1206"/>
      <c r="B78" s="35"/>
      <c r="C78" s="32" t="s">
        <v>116</v>
      </c>
      <c r="D78" s="63" t="e">
        <f>D77/VLOOKUP(A77,#REF!,7,0)</f>
        <v>#REF!</v>
      </c>
      <c r="E78" s="29"/>
      <c r="F78" s="1221"/>
      <c r="G78" s="94"/>
      <c r="H78" s="1217"/>
      <c r="I78" s="35"/>
      <c r="J78" s="175" t="s">
        <v>116</v>
      </c>
      <c r="K78" s="36"/>
      <c r="L78" s="74"/>
      <c r="M78" s="1219"/>
      <c r="N78" s="35"/>
      <c r="O78" s="175" t="s">
        <v>116</v>
      </c>
      <c r="P78" s="63" t="e">
        <f>P77/VLOOKUP(A77,#REF!,7,0)</f>
        <v>#REF!</v>
      </c>
      <c r="Q78" s="1185"/>
      <c r="S78" s="1185"/>
      <c r="U78" s="48" t="s">
        <v>45</v>
      </c>
    </row>
    <row r="79" spans="1:21" ht="82.5" customHeight="1">
      <c r="A79" s="1207"/>
      <c r="B79" s="35"/>
      <c r="C79" s="175" t="s">
        <v>117</v>
      </c>
      <c r="D79" s="63" t="e">
        <f>(D77/VLOOKUP(A77,#REF!,4,0))*100</f>
        <v>#REF!</v>
      </c>
      <c r="E79" s="223"/>
      <c r="F79" s="1222"/>
      <c r="G79" s="217"/>
      <c r="H79" s="1218"/>
      <c r="I79" s="35"/>
      <c r="J79" s="175" t="s">
        <v>117</v>
      </c>
      <c r="K79" s="58"/>
      <c r="L79" s="74"/>
      <c r="M79" s="1186"/>
      <c r="N79" s="35"/>
      <c r="O79" s="175" t="s">
        <v>117</v>
      </c>
      <c r="P79" s="63" t="e">
        <f>(P77/VLOOKUP(A77,#REF!,4,0))*100</f>
        <v>#REF!</v>
      </c>
      <c r="Q79" s="1186"/>
      <c r="R79" s="55"/>
      <c r="S79" s="1186"/>
      <c r="T79" s="55"/>
      <c r="U79" s="219"/>
    </row>
    <row r="80" spans="1:21" s="15" customFormat="1" ht="35.15" customHeight="1">
      <c r="A80" s="211" t="s">
        <v>20</v>
      </c>
      <c r="C80" s="38" t="s">
        <v>115</v>
      </c>
      <c r="D80" s="216">
        <f>1.5+2.4</f>
        <v>3.9</v>
      </c>
      <c r="E80" s="1184">
        <v>0.2</v>
      </c>
      <c r="F80" s="1193" t="s">
        <v>183</v>
      </c>
      <c r="G80" s="211">
        <f>1.5-0.2</f>
        <v>1.3</v>
      </c>
      <c r="H80" s="1184" t="s">
        <v>232</v>
      </c>
      <c r="J80" s="38" t="s">
        <v>115</v>
      </c>
      <c r="K80" s="8"/>
      <c r="L80" s="76">
        <v>1</v>
      </c>
      <c r="M80" s="1184" t="s">
        <v>230</v>
      </c>
      <c r="O80" s="38" t="s">
        <v>115</v>
      </c>
      <c r="P80" s="102">
        <v>10.6</v>
      </c>
      <c r="Q80" s="1184" t="s">
        <v>231</v>
      </c>
      <c r="S80" s="1184" t="s">
        <v>233</v>
      </c>
      <c r="U80" s="156" t="s">
        <v>46</v>
      </c>
    </row>
    <row r="81" spans="1:21" s="40" customFormat="1" ht="46" customHeight="1">
      <c r="A81" s="39"/>
      <c r="B81" s="55"/>
      <c r="C81" s="146" t="s">
        <v>116</v>
      </c>
      <c r="D81" s="63" t="e">
        <f>D80/VLOOKUP(A80,#REF!,7,0)</f>
        <v>#REF!</v>
      </c>
      <c r="E81" s="1185"/>
      <c r="F81" s="1203"/>
      <c r="G81" s="86"/>
      <c r="H81" s="1185"/>
      <c r="J81" s="175" t="s">
        <v>116</v>
      </c>
      <c r="K81" s="39"/>
      <c r="L81" s="74" t="e">
        <f>L80/VLOOKUP(A80,#REF!,7,0)</f>
        <v>#REF!</v>
      </c>
      <c r="M81" s="1185"/>
      <c r="N81" s="55"/>
      <c r="O81" s="175" t="s">
        <v>116</v>
      </c>
      <c r="P81" s="129" t="e">
        <f>P80/VLOOKUP(A80,#REF!,7,0)</f>
        <v>#REF!</v>
      </c>
      <c r="Q81" s="1219"/>
      <c r="S81" s="1186"/>
      <c r="U81" s="157"/>
    </row>
    <row r="82" spans="1:21" ht="62.15" customHeight="1">
      <c r="A82" s="155"/>
      <c r="B82" s="12"/>
      <c r="C82" s="53" t="s">
        <v>117</v>
      </c>
      <c r="D82" s="64" t="e">
        <f>(D80/VLOOKUP(A80,#REF!,4,0))*100</f>
        <v>#REF!</v>
      </c>
      <c r="E82" s="24"/>
      <c r="F82" s="1204"/>
      <c r="G82" s="81"/>
      <c r="H82" s="1186"/>
      <c r="I82" s="12"/>
      <c r="J82" s="53" t="s">
        <v>117</v>
      </c>
      <c r="K82" s="23"/>
      <c r="L82" s="75" t="e">
        <f>(L80/VLOOKUP(A80,#REF!,4,0))*100</f>
        <v>#REF!</v>
      </c>
      <c r="M82" s="1186"/>
      <c r="N82" s="12"/>
      <c r="O82" s="53" t="s">
        <v>117</v>
      </c>
      <c r="P82" s="64" t="e">
        <f>(P80/VLOOKUP(A80,#REF!,4,0))*100</f>
        <v>#REF!</v>
      </c>
      <c r="Q82" s="1186"/>
      <c r="R82" s="1"/>
      <c r="S82" s="145" t="s">
        <v>234</v>
      </c>
      <c r="T82" s="1"/>
      <c r="U82" s="158"/>
    </row>
    <row r="83" spans="1:21" ht="60" customHeight="1">
      <c r="A83" s="1199" t="s">
        <v>184</v>
      </c>
      <c r="B83" s="14"/>
      <c r="C83" s="38" t="s">
        <v>115</v>
      </c>
      <c r="D83" s="116">
        <v>20</v>
      </c>
      <c r="E83" s="1199"/>
      <c r="F83" s="20"/>
      <c r="G83" s="89"/>
      <c r="H83" s="1229" t="s">
        <v>182</v>
      </c>
      <c r="I83" s="14"/>
      <c r="J83" s="175" t="s">
        <v>115</v>
      </c>
      <c r="K83" s="20"/>
      <c r="L83" s="79"/>
      <c r="M83" s="1184"/>
      <c r="N83" s="14"/>
      <c r="O83" s="175" t="s">
        <v>115</v>
      </c>
      <c r="P83" s="1223" t="s">
        <v>84</v>
      </c>
      <c r="Q83" s="1184" t="s">
        <v>106</v>
      </c>
      <c r="R83" s="14"/>
      <c r="S83" s="1184" t="s">
        <v>110</v>
      </c>
      <c r="T83" s="14"/>
      <c r="U83" s="1225" t="s">
        <v>47</v>
      </c>
    </row>
    <row r="84" spans="1:21" ht="60" customHeight="1">
      <c r="A84" s="1200"/>
      <c r="B84" s="37"/>
      <c r="C84" s="50" t="s">
        <v>116</v>
      </c>
      <c r="D84" s="129" t="e">
        <f>D83/VLOOKUP(A83,#REF!,7,0)</f>
        <v>#REF!</v>
      </c>
      <c r="E84" s="1200"/>
      <c r="F84" s="30"/>
      <c r="G84" s="90"/>
      <c r="H84" s="1230"/>
      <c r="I84" s="37"/>
      <c r="J84" s="175" t="s">
        <v>116</v>
      </c>
      <c r="K84" s="30"/>
      <c r="L84" s="73"/>
      <c r="M84" s="1219"/>
      <c r="N84" s="37"/>
      <c r="O84" s="175" t="s">
        <v>116</v>
      </c>
      <c r="P84" s="1224"/>
      <c r="Q84" s="1219"/>
      <c r="R84" s="37"/>
      <c r="S84" s="1185"/>
      <c r="T84" s="37"/>
      <c r="U84" s="1226"/>
    </row>
    <row r="85" spans="1:21" ht="60" customHeight="1">
      <c r="A85" s="1201"/>
      <c r="B85" s="12"/>
      <c r="C85" s="53" t="s">
        <v>117</v>
      </c>
      <c r="D85" s="64" t="e">
        <f>(D83/VLOOKUP(A83,#REF!,4,0))*100</f>
        <v>#REF!</v>
      </c>
      <c r="E85" s="24"/>
      <c r="F85" s="21"/>
      <c r="G85" s="81"/>
      <c r="H85" s="1231"/>
      <c r="I85" s="12"/>
      <c r="J85" s="53" t="s">
        <v>117</v>
      </c>
      <c r="K85" s="23"/>
      <c r="L85" s="75"/>
      <c r="M85" s="1186"/>
      <c r="N85" s="12"/>
      <c r="O85" s="53" t="s">
        <v>117</v>
      </c>
      <c r="P85" s="1232"/>
      <c r="Q85" s="1186"/>
      <c r="R85" s="1"/>
      <c r="S85" s="1186"/>
      <c r="T85" s="1"/>
      <c r="U85" s="1227"/>
    </row>
    <row r="86" spans="1:21" s="37" customFormat="1" ht="89.5" customHeight="1">
      <c r="A86" s="1199" t="s">
        <v>36</v>
      </c>
      <c r="B86" s="14"/>
      <c r="C86" s="38" t="s">
        <v>115</v>
      </c>
      <c r="D86" s="116">
        <v>76.8</v>
      </c>
      <c r="E86" s="1184"/>
      <c r="F86" s="1184" t="s">
        <v>126</v>
      </c>
      <c r="G86" s="89"/>
      <c r="H86" s="1184" t="s">
        <v>178</v>
      </c>
      <c r="I86" s="14"/>
      <c r="J86" s="175" t="s">
        <v>115</v>
      </c>
      <c r="K86" s="20"/>
      <c r="L86" s="117">
        <v>50</v>
      </c>
      <c r="M86" s="1184" t="s">
        <v>235</v>
      </c>
      <c r="N86" s="14"/>
      <c r="O86" s="175" t="s">
        <v>115</v>
      </c>
      <c r="P86" s="132">
        <v>50</v>
      </c>
      <c r="Q86" s="1184" t="s">
        <v>236</v>
      </c>
      <c r="R86" s="14"/>
      <c r="S86" s="1184" t="s">
        <v>127</v>
      </c>
      <c r="T86" s="14"/>
      <c r="U86" s="1225" t="s">
        <v>48</v>
      </c>
    </row>
    <row r="87" spans="1:21" s="37" customFormat="1" ht="92.15" customHeight="1">
      <c r="A87" s="1200"/>
      <c r="C87" s="99" t="s">
        <v>116</v>
      </c>
      <c r="D87" s="63" t="e">
        <f>D86/VLOOKUP(A86,#REF!,7,0)</f>
        <v>#REF!</v>
      </c>
      <c r="E87" s="1185"/>
      <c r="F87" s="1185"/>
      <c r="G87" s="90"/>
      <c r="H87" s="1185"/>
      <c r="J87" s="175" t="s">
        <v>116</v>
      </c>
      <c r="K87" s="30"/>
      <c r="L87" s="63" t="e">
        <f>L86/VLOOKUP(A86,#REF!,7,0)</f>
        <v>#REF!</v>
      </c>
      <c r="M87" s="1219"/>
      <c r="O87" s="175" t="s">
        <v>116</v>
      </c>
      <c r="P87" s="166" t="e">
        <f>P86/VLOOKUP(A86,#REF!,7,0)</f>
        <v>#REF!</v>
      </c>
      <c r="Q87" s="1219"/>
      <c r="S87" s="1185"/>
      <c r="U87" s="1226"/>
    </row>
    <row r="88" spans="1:21" ht="92.15" customHeight="1">
      <c r="A88" s="1201"/>
      <c r="B88" s="12"/>
      <c r="C88" s="53" t="s">
        <v>117</v>
      </c>
      <c r="D88" s="64" t="e">
        <f>((D86/#REF!))*100</f>
        <v>#REF!</v>
      </c>
      <c r="E88" s="24"/>
      <c r="F88" s="1186"/>
      <c r="G88" s="81"/>
      <c r="H88" s="1186"/>
      <c r="I88" s="12"/>
      <c r="J88" s="53" t="s">
        <v>117</v>
      </c>
      <c r="K88" s="23"/>
      <c r="L88" s="64" t="e">
        <f>((L86/#REF!))*100</f>
        <v>#REF!</v>
      </c>
      <c r="M88" s="1186"/>
      <c r="N88" s="12"/>
      <c r="O88" s="53" t="s">
        <v>117</v>
      </c>
      <c r="P88" s="64" t="e">
        <f>((P86/#REF!))*100</f>
        <v>#REF!</v>
      </c>
      <c r="Q88" s="1186"/>
      <c r="R88" s="1"/>
      <c r="S88" s="1186"/>
      <c r="T88" s="1"/>
      <c r="U88" s="1227"/>
    </row>
    <row r="89" spans="1:21" s="37" customFormat="1" ht="102" customHeight="1">
      <c r="A89" s="1199" t="s">
        <v>31</v>
      </c>
      <c r="B89" s="14"/>
      <c r="C89" s="38" t="s">
        <v>115</v>
      </c>
      <c r="D89" s="177">
        <v>34.4</v>
      </c>
      <c r="E89" s="20"/>
      <c r="F89" s="1184" t="s">
        <v>148</v>
      </c>
      <c r="G89" s="89"/>
      <c r="H89" s="1184" t="s">
        <v>237</v>
      </c>
      <c r="I89" s="14"/>
      <c r="J89" s="175" t="s">
        <v>115</v>
      </c>
      <c r="K89" s="20"/>
      <c r="L89" s="117">
        <v>20</v>
      </c>
      <c r="M89" s="1184" t="s">
        <v>238</v>
      </c>
      <c r="N89" s="14"/>
      <c r="O89" s="175" t="s">
        <v>115</v>
      </c>
      <c r="P89" s="66"/>
      <c r="Q89" s="1184"/>
      <c r="R89" s="14"/>
      <c r="S89" s="18"/>
      <c r="T89" s="14"/>
      <c r="U89" s="18"/>
    </row>
    <row r="90" spans="1:21" s="10" customFormat="1" ht="25" customHeight="1">
      <c r="A90" s="1200"/>
      <c r="B90" s="37"/>
      <c r="C90" s="175" t="s">
        <v>116</v>
      </c>
      <c r="D90" s="129" t="e">
        <f>D89/VLOOKUP(A89,#REF!,7,0)</f>
        <v>#REF!</v>
      </c>
      <c r="E90" s="30"/>
      <c r="F90" s="1185"/>
      <c r="G90" s="90"/>
      <c r="H90" s="1219"/>
      <c r="I90" s="37"/>
      <c r="J90" s="175" t="s">
        <v>116</v>
      </c>
      <c r="K90" s="30"/>
      <c r="L90" s="128" t="e">
        <f>L89/VLOOKUP(A89,#REF!,7,0)</f>
        <v>#REF!</v>
      </c>
      <c r="M90" s="1185"/>
      <c r="N90" s="37"/>
      <c r="O90" s="175" t="s">
        <v>116</v>
      </c>
      <c r="P90" s="69"/>
      <c r="Q90" s="1185"/>
      <c r="R90" s="37"/>
      <c r="S90" s="28"/>
      <c r="T90" s="37"/>
      <c r="U90" s="28"/>
    </row>
    <row r="91" spans="1:21" ht="38">
      <c r="A91" s="1201"/>
      <c r="B91" s="35"/>
      <c r="C91" s="175" t="s">
        <v>117</v>
      </c>
      <c r="D91" s="63" t="e">
        <f>(D89/VLOOKUP(A89,#REF!,4,0))*100</f>
        <v>#REF!</v>
      </c>
      <c r="E91" s="223"/>
      <c r="F91" s="1186"/>
      <c r="G91" s="217"/>
      <c r="H91" s="1186"/>
      <c r="I91" s="35"/>
      <c r="J91" s="175" t="s">
        <v>117</v>
      </c>
      <c r="K91" s="58"/>
      <c r="L91" s="74" t="e">
        <f>(L89/VLOOKUP(A89,#REF!,4,0))*100</f>
        <v>#REF!</v>
      </c>
      <c r="M91" s="1186"/>
      <c r="N91" s="35"/>
      <c r="O91" s="175" t="s">
        <v>117</v>
      </c>
      <c r="P91" s="82"/>
      <c r="Q91" s="1186"/>
      <c r="R91" s="55"/>
      <c r="S91" s="206"/>
      <c r="T91" s="55"/>
      <c r="U91" s="219"/>
    </row>
    <row r="92" spans="1:21" s="15" customFormat="1" ht="143.5" customHeight="1">
      <c r="A92" s="1199" t="s">
        <v>21</v>
      </c>
      <c r="C92" s="38" t="s">
        <v>115</v>
      </c>
      <c r="D92" s="177">
        <v>103</v>
      </c>
      <c r="E92" s="1184"/>
      <c r="F92" s="8"/>
      <c r="G92" s="211"/>
      <c r="H92" s="1184" t="s">
        <v>156</v>
      </c>
      <c r="J92" s="38" t="s">
        <v>115</v>
      </c>
      <c r="K92" s="8"/>
      <c r="L92" s="76"/>
      <c r="M92" s="22"/>
      <c r="O92" s="38" t="s">
        <v>115</v>
      </c>
      <c r="P92" s="102">
        <v>235</v>
      </c>
      <c r="Q92" s="1184" t="s">
        <v>112</v>
      </c>
      <c r="S92" s="22"/>
      <c r="U92" s="205"/>
    </row>
    <row r="93" spans="1:21" s="37" customFormat="1" ht="40" customHeight="1">
      <c r="A93" s="1200"/>
      <c r="B93" s="55"/>
      <c r="C93" s="50" t="s">
        <v>116</v>
      </c>
      <c r="D93" s="129" t="e">
        <f>D92/VLOOKUP(A92,#REF!,7,0)</f>
        <v>#REF!</v>
      </c>
      <c r="E93" s="1185"/>
      <c r="F93" s="39"/>
      <c r="G93" s="86"/>
      <c r="H93" s="1185"/>
      <c r="I93" s="40"/>
      <c r="J93" s="175" t="s">
        <v>116</v>
      </c>
      <c r="K93" s="39"/>
      <c r="L93" s="77"/>
      <c r="M93" s="36"/>
      <c r="N93" s="55"/>
      <c r="O93" s="175" t="s">
        <v>116</v>
      </c>
      <c r="P93" s="129" t="e">
        <f>P92/VLOOKUP(A92,#REF!,7,0)</f>
        <v>#REF!</v>
      </c>
      <c r="Q93" s="1185"/>
      <c r="R93" s="40"/>
      <c r="S93" s="36"/>
      <c r="T93" s="40"/>
      <c r="U93" s="28"/>
    </row>
    <row r="94" spans="1:21" ht="38">
      <c r="A94" s="1201"/>
      <c r="B94" s="12"/>
      <c r="C94" s="53" t="s">
        <v>117</v>
      </c>
      <c r="D94" s="64" t="e">
        <f>(D92/VLOOKUP(A92,#REF!,4,0))*100</f>
        <v>#REF!</v>
      </c>
      <c r="E94" s="24"/>
      <c r="F94" s="21"/>
      <c r="G94" s="81"/>
      <c r="H94" s="1186"/>
      <c r="I94" s="12"/>
      <c r="J94" s="53" t="s">
        <v>117</v>
      </c>
      <c r="K94" s="23"/>
      <c r="L94" s="75"/>
      <c r="M94" s="23"/>
      <c r="N94" s="12"/>
      <c r="O94" s="53" t="s">
        <v>117</v>
      </c>
      <c r="P94" s="64" t="e">
        <f>(P92/VLOOKUP(A92,#REF!,4,0))*100</f>
        <v>#REF!</v>
      </c>
      <c r="Q94" s="1186"/>
      <c r="R94" s="1"/>
      <c r="S94" s="19"/>
      <c r="T94" s="1"/>
      <c r="U94" s="26"/>
    </row>
    <row r="95" spans="1:21">
      <c r="A95" s="150"/>
      <c r="B95" s="35"/>
      <c r="C95" s="45"/>
      <c r="D95" s="151"/>
      <c r="E95" s="152"/>
      <c r="F95" s="37"/>
      <c r="G95" s="153"/>
      <c r="H95" s="147"/>
      <c r="I95" s="35"/>
      <c r="J95" s="45"/>
      <c r="K95" s="35"/>
      <c r="L95" s="154"/>
      <c r="N95" s="35"/>
      <c r="O95" s="45"/>
      <c r="Q95" s="147"/>
      <c r="R95" s="55"/>
      <c r="S95" s="147"/>
      <c r="T95" s="55"/>
      <c r="U95" s="148"/>
    </row>
    <row r="96" spans="1:21" s="2" customFormat="1" ht="13">
      <c r="A96" s="236" t="s">
        <v>137</v>
      </c>
      <c r="B96" s="237"/>
      <c r="C96" s="236"/>
      <c r="D96" s="238"/>
      <c r="E96" s="239"/>
      <c r="F96" s="237"/>
      <c r="G96" s="240"/>
      <c r="H96" s="241"/>
      <c r="I96" s="237"/>
      <c r="J96" s="241"/>
      <c r="K96" s="237"/>
      <c r="L96" s="242"/>
      <c r="M96" s="241"/>
      <c r="N96" s="237"/>
      <c r="O96" s="241"/>
      <c r="P96" s="243"/>
      <c r="Q96" s="241"/>
      <c r="R96" s="52"/>
      <c r="S96" s="207"/>
      <c r="T96" s="52"/>
      <c r="U96" s="220"/>
    </row>
    <row r="97" spans="1:21" s="37" customFormat="1" ht="56.15" customHeight="1">
      <c r="A97" s="1199" t="s">
        <v>41</v>
      </c>
      <c r="C97" s="175" t="s">
        <v>115</v>
      </c>
      <c r="D97" s="217">
        <v>12</v>
      </c>
      <c r="E97" s="1220">
        <v>3.5</v>
      </c>
      <c r="F97" s="1220" t="s">
        <v>239</v>
      </c>
      <c r="G97" s="210">
        <f>12-3.5</f>
        <v>8.5</v>
      </c>
      <c r="H97" s="1184" t="s">
        <v>153</v>
      </c>
      <c r="J97" s="175" t="s">
        <v>115</v>
      </c>
      <c r="K97" s="215"/>
      <c r="L97" s="73"/>
      <c r="M97" s="206"/>
      <c r="O97" s="175" t="s">
        <v>115</v>
      </c>
      <c r="P97" s="118">
        <v>11</v>
      </c>
      <c r="Q97" s="1184" t="s">
        <v>97</v>
      </c>
      <c r="S97" s="206"/>
      <c r="U97" s="206"/>
    </row>
    <row r="98" spans="1:21" ht="40" customHeight="1">
      <c r="A98" s="1200"/>
      <c r="B98" s="37"/>
      <c r="C98" s="99" t="s">
        <v>116</v>
      </c>
      <c r="D98" s="63" t="e">
        <f>D97/VLOOKUP(A97,#REF!,7,0)</f>
        <v>#REF!</v>
      </c>
      <c r="E98" s="1221"/>
      <c r="F98" s="1221"/>
      <c r="G98" s="90"/>
      <c r="H98" s="1185"/>
      <c r="I98" s="37"/>
      <c r="J98" s="175" t="s">
        <v>116</v>
      </c>
      <c r="K98" s="30"/>
      <c r="L98" s="73"/>
      <c r="M98" s="28"/>
      <c r="N98" s="37"/>
      <c r="O98" s="175" t="s">
        <v>116</v>
      </c>
      <c r="P98" s="63" t="e">
        <f>P97/VLOOKUP(A97,#REF!,7,0)</f>
        <v>#REF!</v>
      </c>
      <c r="Q98" s="1185"/>
      <c r="R98" s="37"/>
      <c r="S98" s="28"/>
      <c r="T98" s="37"/>
      <c r="U98" s="28"/>
    </row>
    <row r="99" spans="1:21" ht="51.65" customHeight="1">
      <c r="A99" s="1201"/>
      <c r="B99" s="12"/>
      <c r="C99" s="53" t="s">
        <v>117</v>
      </c>
      <c r="D99" s="64" t="e">
        <f>(D97/VLOOKUP(A97,#REF!,4,0))*100</f>
        <v>#REF!</v>
      </c>
      <c r="E99" s="24"/>
      <c r="F99" s="1222"/>
      <c r="G99" s="81"/>
      <c r="H99" s="1186"/>
      <c r="I99" s="12"/>
      <c r="J99" s="53" t="s">
        <v>117</v>
      </c>
      <c r="K99" s="23"/>
      <c r="L99" s="75"/>
      <c r="M99" s="23"/>
      <c r="N99" s="12"/>
      <c r="O99" s="53" t="s">
        <v>117</v>
      </c>
      <c r="P99" s="64" t="e">
        <f>(P97/VLOOKUP(A97,#REF!,4,0))*100</f>
        <v>#REF!</v>
      </c>
      <c r="Q99" s="1186"/>
      <c r="R99" s="1"/>
      <c r="S99" s="19"/>
      <c r="T99" s="1"/>
      <c r="U99" s="26"/>
    </row>
    <row r="100" spans="1:21" ht="29.5" customHeight="1">
      <c r="A100" s="1205" t="s">
        <v>27</v>
      </c>
      <c r="B100" s="15"/>
      <c r="C100" s="38" t="s">
        <v>115</v>
      </c>
      <c r="D100" s="149">
        <f>1.42+0.47</f>
        <v>1.89</v>
      </c>
      <c r="E100" s="9"/>
      <c r="F100" s="1202" t="s">
        <v>129</v>
      </c>
      <c r="G100" s="88"/>
      <c r="H100" s="1184" t="s">
        <v>240</v>
      </c>
      <c r="I100" s="15"/>
      <c r="J100" s="175" t="s">
        <v>115</v>
      </c>
      <c r="K100" s="8"/>
      <c r="L100" s="76">
        <v>0.7</v>
      </c>
      <c r="M100" s="1202" t="s">
        <v>241</v>
      </c>
      <c r="N100" s="15"/>
      <c r="O100" s="175" t="s">
        <v>115</v>
      </c>
      <c r="P100" s="62"/>
      <c r="Q100" s="22"/>
      <c r="R100" s="15"/>
      <c r="S100" s="1184" t="s">
        <v>78</v>
      </c>
      <c r="T100" s="15"/>
      <c r="U100" s="18"/>
    </row>
    <row r="101" spans="1:21" s="35" customFormat="1" ht="34.5" customHeight="1">
      <c r="A101" s="1206"/>
      <c r="B101" s="55"/>
      <c r="C101" s="50" t="s">
        <v>116</v>
      </c>
      <c r="D101" s="63" t="e">
        <f>D100/VLOOKUP(A100,#REF!,7,0)</f>
        <v>#REF!</v>
      </c>
      <c r="E101" s="41"/>
      <c r="F101" s="1203"/>
      <c r="G101" s="86"/>
      <c r="H101" s="1185"/>
      <c r="I101" s="40"/>
      <c r="J101" s="175" t="s">
        <v>116</v>
      </c>
      <c r="K101" s="39"/>
      <c r="L101" s="74" t="e">
        <f>L100/VLOOKUP(A100,#REF!,7,0)</f>
        <v>#REF!</v>
      </c>
      <c r="M101" s="1203"/>
      <c r="N101" s="55"/>
      <c r="O101" s="175" t="s">
        <v>116</v>
      </c>
      <c r="P101" s="82"/>
      <c r="Q101" s="36"/>
      <c r="R101" s="40"/>
      <c r="S101" s="1185"/>
      <c r="T101" s="40"/>
      <c r="U101" s="28"/>
    </row>
    <row r="102" spans="1:21" ht="44.15" customHeight="1">
      <c r="A102" s="1207"/>
      <c r="B102" s="12"/>
      <c r="C102" s="53" t="s">
        <v>117</v>
      </c>
      <c r="D102" s="64" t="e">
        <f>(D100/VLOOKUP(A100,#REF!,4,0))*100</f>
        <v>#REF!</v>
      </c>
      <c r="E102" s="24"/>
      <c r="F102" s="1204"/>
      <c r="G102" s="81"/>
      <c r="H102" s="1186"/>
      <c r="I102" s="12"/>
      <c r="J102" s="53" t="s">
        <v>117</v>
      </c>
      <c r="K102" s="23"/>
      <c r="L102" s="75" t="e">
        <f>(L100/VLOOKUP(A100,#REF!,4,0))*100</f>
        <v>#REF!</v>
      </c>
      <c r="M102" s="1204"/>
      <c r="N102" s="12"/>
      <c r="O102" s="53" t="s">
        <v>117</v>
      </c>
      <c r="P102" s="17"/>
      <c r="Q102" s="19"/>
      <c r="R102" s="1"/>
      <c r="S102" s="1186"/>
      <c r="T102" s="1"/>
      <c r="U102" s="26"/>
    </row>
    <row r="103" spans="1:21" s="35" customFormat="1" ht="39" customHeight="1">
      <c r="A103" s="1211" t="s">
        <v>42</v>
      </c>
      <c r="B103" s="16"/>
      <c r="C103" s="38" t="s">
        <v>115</v>
      </c>
      <c r="D103" s="185">
        <v>3750</v>
      </c>
      <c r="E103" s="22"/>
      <c r="F103" s="1220" t="s">
        <v>242</v>
      </c>
      <c r="G103" s="88"/>
      <c r="H103" s="1184" t="s">
        <v>243</v>
      </c>
      <c r="I103" s="16"/>
      <c r="J103" s="175" t="s">
        <v>115</v>
      </c>
      <c r="K103" s="22"/>
      <c r="L103" s="194">
        <v>1950</v>
      </c>
      <c r="M103" s="1184" t="s">
        <v>179</v>
      </c>
      <c r="N103" s="16"/>
      <c r="O103" s="175" t="s">
        <v>115</v>
      </c>
      <c r="P103" s="62"/>
      <c r="Q103" s="22"/>
      <c r="R103" s="16"/>
      <c r="S103" s="1184" t="s">
        <v>244</v>
      </c>
      <c r="T103" s="16"/>
      <c r="U103" s="1225" t="s">
        <v>50</v>
      </c>
    </row>
    <row r="104" spans="1:21" s="37" customFormat="1" ht="52.5" customHeight="1">
      <c r="A104" s="1212"/>
      <c r="B104" s="35"/>
      <c r="C104" s="99" t="s">
        <v>116</v>
      </c>
      <c r="D104" s="63" t="e">
        <f>D103/VLOOKUP(A103,#REF!,7,0)</f>
        <v>#REF!</v>
      </c>
      <c r="E104" s="36"/>
      <c r="F104" s="1221"/>
      <c r="G104" s="86"/>
      <c r="H104" s="1185"/>
      <c r="I104" s="35"/>
      <c r="J104" s="175" t="s">
        <v>116</v>
      </c>
      <c r="K104" s="36"/>
      <c r="L104" s="74" t="e">
        <f>L103/VLOOKUP(A103,#REF!,7,0)</f>
        <v>#REF!</v>
      </c>
      <c r="M104" s="1185"/>
      <c r="N104" s="35"/>
      <c r="O104" s="175" t="s">
        <v>116</v>
      </c>
      <c r="P104" s="82"/>
      <c r="Q104" s="36"/>
      <c r="R104" s="35"/>
      <c r="S104" s="1185"/>
      <c r="T104" s="35"/>
      <c r="U104" s="1226"/>
    </row>
    <row r="105" spans="1:21" ht="79.5" customHeight="1">
      <c r="A105" s="1213"/>
      <c r="B105" s="12"/>
      <c r="C105" s="53" t="s">
        <v>117</v>
      </c>
      <c r="D105" s="64" t="e">
        <f>(D103/VLOOKUP(A103,#REF!,4,0))*100</f>
        <v>#REF!</v>
      </c>
      <c r="E105" s="24"/>
      <c r="F105" s="1222"/>
      <c r="G105" s="81"/>
      <c r="H105" s="1186"/>
      <c r="I105" s="12"/>
      <c r="J105" s="53" t="s">
        <v>117</v>
      </c>
      <c r="K105" s="23"/>
      <c r="L105" s="75" t="e">
        <f>(L103/VLOOKUP(A103,#REF!,4,0))*100</f>
        <v>#REF!</v>
      </c>
      <c r="M105" s="1186"/>
      <c r="N105" s="12"/>
      <c r="O105" s="53" t="s">
        <v>117</v>
      </c>
      <c r="P105" s="17"/>
      <c r="Q105" s="19"/>
      <c r="R105" s="1"/>
      <c r="S105" s="1186"/>
      <c r="T105" s="1"/>
      <c r="U105" s="1227"/>
    </row>
    <row r="106" spans="1:21" s="35" customFormat="1" ht="44.15" customHeight="1">
      <c r="A106" s="1208" t="s">
        <v>34</v>
      </c>
      <c r="B106" s="16"/>
      <c r="C106" s="38" t="s">
        <v>115</v>
      </c>
      <c r="D106" s="186" t="s">
        <v>84</v>
      </c>
      <c r="E106" s="22"/>
      <c r="F106" s="1220" t="s">
        <v>111</v>
      </c>
      <c r="G106" s="88"/>
      <c r="H106" s="1184" t="s">
        <v>122</v>
      </c>
      <c r="I106" s="16"/>
      <c r="J106" s="175" t="s">
        <v>115</v>
      </c>
      <c r="K106" s="22"/>
      <c r="L106" s="122">
        <v>320</v>
      </c>
      <c r="M106" s="1228" t="s">
        <v>245</v>
      </c>
      <c r="N106" s="16"/>
      <c r="O106" s="175" t="s">
        <v>115</v>
      </c>
      <c r="P106" s="62"/>
      <c r="Q106" s="22"/>
      <c r="R106" s="16"/>
      <c r="S106" s="22"/>
      <c r="T106" s="16"/>
      <c r="U106" s="18"/>
    </row>
    <row r="107" spans="1:21" s="35" customFormat="1" ht="43.5" customHeight="1">
      <c r="A107" s="1209"/>
      <c r="C107" s="50" t="s">
        <v>116</v>
      </c>
      <c r="D107" s="63"/>
      <c r="E107" s="36"/>
      <c r="F107" s="1221"/>
      <c r="G107" s="86"/>
      <c r="H107" s="1185"/>
      <c r="J107" s="175" t="s">
        <v>116</v>
      </c>
      <c r="K107" s="36"/>
      <c r="L107" s="77" t="e">
        <f>L106/#REF!</f>
        <v>#REF!</v>
      </c>
      <c r="M107" s="1185"/>
      <c r="O107" s="175" t="s">
        <v>116</v>
      </c>
      <c r="P107" s="82"/>
      <c r="Q107" s="36"/>
      <c r="S107" s="36"/>
      <c r="U107" s="28"/>
    </row>
    <row r="108" spans="1:21" ht="73" customHeight="1">
      <c r="A108" s="1210"/>
      <c r="B108" s="12"/>
      <c r="C108" s="53" t="s">
        <v>117</v>
      </c>
      <c r="D108" s="64"/>
      <c r="E108" s="24"/>
      <c r="F108" s="1222"/>
      <c r="G108" s="81"/>
      <c r="H108" s="1186"/>
      <c r="I108" s="12"/>
      <c r="J108" s="53" t="s">
        <v>117</v>
      </c>
      <c r="K108" s="23"/>
      <c r="L108" s="75" t="e">
        <f>L106/#REF!*100</f>
        <v>#REF!</v>
      </c>
      <c r="M108" s="1186"/>
      <c r="N108" s="12"/>
      <c r="O108" s="53" t="s">
        <v>117</v>
      </c>
      <c r="P108" s="17"/>
      <c r="Q108" s="19"/>
      <c r="R108" s="1"/>
      <c r="S108" s="19"/>
      <c r="T108" s="1"/>
      <c r="U108" s="26"/>
    </row>
    <row r="109" spans="1:21" s="37" customFormat="1" ht="156.65" customHeight="1">
      <c r="A109" s="1199" t="s">
        <v>23</v>
      </c>
      <c r="B109" s="14"/>
      <c r="C109" s="38" t="s">
        <v>115</v>
      </c>
      <c r="D109" s="116">
        <v>100</v>
      </c>
      <c r="E109" s="1184" t="s">
        <v>246</v>
      </c>
      <c r="F109" s="1202" t="s">
        <v>247</v>
      </c>
      <c r="G109" s="89">
        <f>100-3.8</f>
        <v>96.2</v>
      </c>
      <c r="H109" s="1184" t="s">
        <v>249</v>
      </c>
      <c r="I109" s="14"/>
      <c r="J109" s="175" t="s">
        <v>115</v>
      </c>
      <c r="K109" s="20"/>
      <c r="L109" s="117"/>
      <c r="M109" s="1202" t="s">
        <v>248</v>
      </c>
      <c r="N109" s="14"/>
      <c r="O109" s="175" t="s">
        <v>115</v>
      </c>
      <c r="P109" s="66"/>
      <c r="Q109" s="1184"/>
      <c r="R109" s="14"/>
      <c r="S109" s="18"/>
      <c r="T109" s="14"/>
      <c r="U109" s="18"/>
    </row>
    <row r="110" spans="1:21" s="37" customFormat="1" ht="70" customHeight="1">
      <c r="A110" s="1200"/>
      <c r="C110" s="175" t="s">
        <v>116</v>
      </c>
      <c r="D110" s="63" t="e">
        <f>D109/VLOOKUP(A109,#REF!,7,0)</f>
        <v>#REF!</v>
      </c>
      <c r="E110" s="1185"/>
      <c r="F110" s="1203"/>
      <c r="G110" s="90"/>
      <c r="H110" s="1185"/>
      <c r="J110" s="175" t="s">
        <v>116</v>
      </c>
      <c r="K110" s="30"/>
      <c r="L110" s="130"/>
      <c r="M110" s="1203"/>
      <c r="O110" s="175" t="s">
        <v>116</v>
      </c>
      <c r="P110" s="69"/>
      <c r="Q110" s="1185"/>
      <c r="S110" s="28"/>
      <c r="U110" s="28"/>
    </row>
    <row r="111" spans="1:21" ht="51.65" customHeight="1">
      <c r="A111" s="1201"/>
      <c r="B111" s="12"/>
      <c r="C111" s="53" t="s">
        <v>117</v>
      </c>
      <c r="D111" s="64" t="e">
        <f>(D109/VLOOKUP(A109,#REF!,4,0))*100</f>
        <v>#REF!</v>
      </c>
      <c r="E111" s="24"/>
      <c r="F111" s="1204"/>
      <c r="G111" s="81"/>
      <c r="H111" s="1186"/>
      <c r="I111" s="12"/>
      <c r="J111" s="53" t="s">
        <v>117</v>
      </c>
      <c r="K111" s="23"/>
      <c r="L111" s="75"/>
      <c r="M111" s="1204"/>
      <c r="N111" s="12"/>
      <c r="O111" s="53" t="s">
        <v>117</v>
      </c>
      <c r="P111" s="17"/>
      <c r="Q111" s="1186"/>
      <c r="R111" s="1"/>
      <c r="S111" s="19"/>
      <c r="T111" s="1"/>
      <c r="U111" s="26"/>
    </row>
    <row r="112" spans="1:21" s="133" customFormat="1" ht="79" customHeight="1">
      <c r="A112" s="1199" t="s">
        <v>35</v>
      </c>
      <c r="B112" s="141"/>
      <c r="C112" s="38" t="s">
        <v>115</v>
      </c>
      <c r="D112" s="186">
        <v>1400</v>
      </c>
      <c r="E112" s="135"/>
      <c r="F112" s="1184" t="s">
        <v>99</v>
      </c>
      <c r="G112" s="138"/>
      <c r="H112" s="1184" t="s">
        <v>130</v>
      </c>
      <c r="I112" s="141"/>
      <c r="J112" s="38" t="s">
        <v>115</v>
      </c>
      <c r="K112" s="135"/>
      <c r="L112" s="117">
        <v>1900</v>
      </c>
      <c r="M112" s="1184" t="s">
        <v>250</v>
      </c>
      <c r="N112" s="202"/>
      <c r="O112" s="38" t="s">
        <v>115</v>
      </c>
      <c r="P112" s="142"/>
      <c r="Q112" s="1199"/>
      <c r="R112" s="141"/>
      <c r="S112" s="135"/>
      <c r="T112" s="141"/>
      <c r="U112" s="135"/>
    </row>
    <row r="113" spans="1:21" s="133" customFormat="1" ht="25" customHeight="1">
      <c r="A113" s="1200"/>
      <c r="C113" s="175" t="s">
        <v>116</v>
      </c>
      <c r="D113" s="63" t="e">
        <f>D112/VLOOKUP(A112,#REF!,7,0)</f>
        <v>#REF!</v>
      </c>
      <c r="E113" s="136"/>
      <c r="F113" s="1185"/>
      <c r="G113" s="139"/>
      <c r="H113" s="1185"/>
      <c r="J113" s="181" t="s">
        <v>116</v>
      </c>
      <c r="K113" s="136"/>
      <c r="L113" s="74" t="e">
        <f>L112/VLOOKUP(A112,#REF!,7,0)</f>
        <v>#REF!</v>
      </c>
      <c r="M113" s="1185"/>
      <c r="N113" s="203"/>
      <c r="O113" s="181" t="s">
        <v>116</v>
      </c>
      <c r="P113" s="143"/>
      <c r="Q113" s="1200"/>
      <c r="S113" s="136"/>
      <c r="U113" s="136"/>
    </row>
    <row r="114" spans="1:21" ht="51" customHeight="1">
      <c r="A114" s="1201"/>
      <c r="B114" s="12"/>
      <c r="C114" s="53" t="s">
        <v>117</v>
      </c>
      <c r="D114" s="64" t="e">
        <f>(D112/VLOOKUP(A112,#REF!,4,0))*100</f>
        <v>#REF!</v>
      </c>
      <c r="E114" s="140"/>
      <c r="F114" s="1186"/>
      <c r="G114" s="144"/>
      <c r="H114" s="1186"/>
      <c r="I114" s="12"/>
      <c r="J114" s="53" t="s">
        <v>95</v>
      </c>
      <c r="K114" s="57"/>
      <c r="L114" s="75" t="e">
        <f>(L112/VLOOKUP(A112,#REF!,4,0))*100</f>
        <v>#REF!</v>
      </c>
      <c r="M114" s="1186"/>
      <c r="N114" s="12"/>
      <c r="O114" s="53" t="s">
        <v>95</v>
      </c>
      <c r="P114" s="17"/>
      <c r="Q114" s="1201"/>
      <c r="R114" s="52"/>
      <c r="S114" s="134"/>
      <c r="T114" s="52"/>
      <c r="U114" s="137"/>
    </row>
    <row r="115" spans="1:21" ht="46.5" customHeight="1">
      <c r="A115" s="1199" t="s">
        <v>92</v>
      </c>
      <c r="B115" s="170"/>
      <c r="C115" s="38" t="s">
        <v>115</v>
      </c>
      <c r="D115" s="178">
        <v>1.1000000000000001</v>
      </c>
      <c r="E115" s="159">
        <v>0.20799999999999999</v>
      </c>
      <c r="F115" s="1184" t="s">
        <v>251</v>
      </c>
      <c r="G115" s="162">
        <f>4-2.9</f>
        <v>1.1000000000000001</v>
      </c>
      <c r="H115" s="1184" t="s">
        <v>124</v>
      </c>
      <c r="I115" s="170"/>
      <c r="J115" s="175" t="s">
        <v>115</v>
      </c>
      <c r="K115" s="159"/>
      <c r="L115" s="79">
        <v>2.9</v>
      </c>
      <c r="M115" s="1184" t="s">
        <v>252</v>
      </c>
      <c r="N115" s="202"/>
      <c r="O115" s="175" t="s">
        <v>115</v>
      </c>
      <c r="P115" s="164"/>
      <c r="Q115" s="1184"/>
      <c r="R115" s="170"/>
      <c r="S115" s="159"/>
      <c r="T115" s="170"/>
      <c r="U115" s="159"/>
    </row>
    <row r="116" spans="1:21" ht="42.65" customHeight="1">
      <c r="A116" s="1200"/>
      <c r="B116" s="171"/>
      <c r="C116" s="175" t="s">
        <v>116</v>
      </c>
      <c r="D116" s="63" t="e">
        <f>D115/VLOOKUP(A115,#REF!,7,0)</f>
        <v>#REF!</v>
      </c>
      <c r="E116" s="160"/>
      <c r="F116" s="1185"/>
      <c r="G116" s="163"/>
      <c r="H116" s="1185"/>
      <c r="I116" s="171"/>
      <c r="J116" s="175" t="s">
        <v>116</v>
      </c>
      <c r="K116" s="160"/>
      <c r="L116" s="74" t="e">
        <f>L115/VLOOKUP(A115,#REF!,7,0)</f>
        <v>#REF!</v>
      </c>
      <c r="M116" s="1185"/>
      <c r="N116" s="203"/>
      <c r="O116" s="175" t="s">
        <v>116</v>
      </c>
      <c r="P116" s="165"/>
      <c r="Q116" s="1185"/>
      <c r="R116" s="171"/>
      <c r="S116" s="160"/>
      <c r="T116" s="171"/>
      <c r="U116" s="160"/>
    </row>
    <row r="117" spans="1:21" ht="38">
      <c r="A117" s="1201"/>
      <c r="B117" s="12"/>
      <c r="C117" s="53" t="s">
        <v>117</v>
      </c>
      <c r="D117" s="64" t="e">
        <f>(D115/VLOOKUP(A115,#REF!,4,0))*100</f>
        <v>#REF!</v>
      </c>
      <c r="E117" s="169"/>
      <c r="F117" s="1186"/>
      <c r="G117" s="168"/>
      <c r="H117" s="1186"/>
      <c r="I117" s="12"/>
      <c r="J117" s="53" t="s">
        <v>117</v>
      </c>
      <c r="K117" s="57"/>
      <c r="L117" s="75" t="e">
        <f>(L115/VLOOKUP(A115,#REF!,4,0))*100</f>
        <v>#REF!</v>
      </c>
      <c r="M117" s="1186"/>
      <c r="N117" s="12"/>
      <c r="O117" s="53" t="s">
        <v>117</v>
      </c>
      <c r="P117" s="17"/>
      <c r="Q117" s="1186"/>
      <c r="R117" s="52"/>
      <c r="S117" s="161"/>
      <c r="T117" s="52"/>
      <c r="U117" s="167"/>
    </row>
    <row r="118" spans="1:21" s="10" customFormat="1" ht="62.5" customHeight="1">
      <c r="A118" s="1199" t="s">
        <v>22</v>
      </c>
      <c r="B118" s="95"/>
      <c r="C118" s="38" t="s">
        <v>115</v>
      </c>
      <c r="D118" s="177">
        <v>68</v>
      </c>
      <c r="E118" s="1184" t="s">
        <v>253</v>
      </c>
      <c r="F118" s="1184" t="s">
        <v>269</v>
      </c>
      <c r="G118" s="89" t="s">
        <v>254</v>
      </c>
      <c r="H118" s="1184" t="s">
        <v>255</v>
      </c>
      <c r="I118" s="13"/>
      <c r="J118" s="175" t="s">
        <v>115</v>
      </c>
      <c r="K118" s="18"/>
      <c r="L118" s="79"/>
      <c r="M118" s="1184"/>
      <c r="N118" s="202"/>
      <c r="O118" s="175" t="s">
        <v>115</v>
      </c>
      <c r="P118" s="117">
        <v>68</v>
      </c>
      <c r="Q118" s="1184" t="s">
        <v>79</v>
      </c>
      <c r="R118" s="13"/>
      <c r="S118" s="199" t="s">
        <v>189</v>
      </c>
      <c r="T118" s="13"/>
      <c r="U118" s="198" t="s">
        <v>188</v>
      </c>
    </row>
    <row r="119" spans="1:21" s="10" customFormat="1" ht="50.15" customHeight="1">
      <c r="A119" s="1200"/>
      <c r="B119" s="85"/>
      <c r="C119" s="175" t="s">
        <v>116</v>
      </c>
      <c r="D119" s="129" t="e">
        <f>D118/VLOOKUP(A118,#REF!,7,0)</f>
        <v>#REF!</v>
      </c>
      <c r="E119" s="1185"/>
      <c r="F119" s="1185"/>
      <c r="G119" s="90"/>
      <c r="H119" s="1185"/>
      <c r="J119" s="175" t="s">
        <v>116</v>
      </c>
      <c r="K119" s="28"/>
      <c r="L119" s="73"/>
      <c r="M119" s="1185"/>
      <c r="N119" s="203"/>
      <c r="O119" s="175" t="s">
        <v>116</v>
      </c>
      <c r="P119" s="128" t="e">
        <f>P118/VLOOKUP(A118,#REF!,7,0)</f>
        <v>#REF!</v>
      </c>
      <c r="Q119" s="1185"/>
      <c r="S119" s="28"/>
      <c r="U119" s="28"/>
    </row>
    <row r="120" spans="1:21" ht="38">
      <c r="A120" s="1201"/>
      <c r="B120" s="12"/>
      <c r="C120" s="53" t="s">
        <v>117</v>
      </c>
      <c r="D120" s="64" t="e">
        <f>(D118/VLOOKUP(A118,#REF!,4,0))*100</f>
        <v>#REF!</v>
      </c>
      <c r="E120" s="24"/>
      <c r="F120" s="1186"/>
      <c r="G120" s="81"/>
      <c r="H120" s="1186"/>
      <c r="I120" s="12"/>
      <c r="J120" s="53" t="s">
        <v>117</v>
      </c>
      <c r="K120" s="23"/>
      <c r="L120" s="75"/>
      <c r="M120" s="1186"/>
      <c r="N120" s="12"/>
      <c r="O120" s="53" t="s">
        <v>117</v>
      </c>
      <c r="P120" s="75" t="e">
        <f>(P118/VLOOKUP(A118,#REF!,4,0))*100</f>
        <v>#REF!</v>
      </c>
      <c r="Q120" s="1186"/>
      <c r="R120" s="1"/>
      <c r="S120" s="19"/>
      <c r="T120" s="1"/>
      <c r="U120" s="26"/>
    </row>
    <row r="121" spans="1:21" s="10" customFormat="1" ht="58" customHeight="1">
      <c r="A121" s="1211" t="s">
        <v>30</v>
      </c>
      <c r="B121" s="95"/>
      <c r="C121" s="38" t="s">
        <v>115</v>
      </c>
      <c r="D121" s="176">
        <v>2.0499999999999998</v>
      </c>
      <c r="E121" s="1184" t="s">
        <v>80</v>
      </c>
      <c r="F121" s="1184" t="s">
        <v>100</v>
      </c>
      <c r="G121" s="89">
        <f>2.05-0.33</f>
        <v>1.7199999999999998</v>
      </c>
      <c r="H121" s="1184" t="s">
        <v>131</v>
      </c>
      <c r="I121" s="13"/>
      <c r="J121" s="175" t="s">
        <v>115</v>
      </c>
      <c r="K121" s="18"/>
      <c r="L121" s="79">
        <f>0.3+0.04+0.5+0.1+0.132</f>
        <v>1.0720000000000001</v>
      </c>
      <c r="M121" s="1184" t="s">
        <v>81</v>
      </c>
      <c r="N121" s="202"/>
      <c r="O121" s="175" t="s">
        <v>115</v>
      </c>
      <c r="P121" s="66">
        <v>0.5</v>
      </c>
      <c r="Q121" s="1184" t="s">
        <v>82</v>
      </c>
      <c r="R121" s="13"/>
      <c r="S121" s="1184" t="s">
        <v>83</v>
      </c>
      <c r="T121" s="13"/>
      <c r="U121" s="18"/>
    </row>
    <row r="122" spans="1:21" s="10" customFormat="1" ht="40" customHeight="1">
      <c r="A122" s="1212"/>
      <c r="B122" s="85"/>
      <c r="C122" s="175" t="s">
        <v>116</v>
      </c>
      <c r="D122" s="63" t="e">
        <f>D121/VLOOKUP(A121,#REF!,7,0)</f>
        <v>#REF!</v>
      </c>
      <c r="E122" s="1185"/>
      <c r="F122" s="1185"/>
      <c r="G122" s="90"/>
      <c r="H122" s="1185"/>
      <c r="J122" s="175" t="s">
        <v>116</v>
      </c>
      <c r="K122" s="28"/>
      <c r="L122" s="74" t="e">
        <f>L121/VLOOKUP(A121,#REF!,7,0)</f>
        <v>#REF!</v>
      </c>
      <c r="M122" s="1185"/>
      <c r="N122" s="203"/>
      <c r="O122" s="175" t="s">
        <v>116</v>
      </c>
      <c r="P122" s="63" t="e">
        <f>P121/VLOOKUP(A121,#REF!,7,0)</f>
        <v>#REF!</v>
      </c>
      <c r="Q122" s="1185"/>
      <c r="S122" s="1185"/>
      <c r="U122" s="28"/>
    </row>
    <row r="123" spans="1:21" ht="93.65" customHeight="1">
      <c r="A123" s="1213"/>
      <c r="B123" s="12"/>
      <c r="C123" s="53" t="s">
        <v>117</v>
      </c>
      <c r="D123" s="64" t="e">
        <f>(D121/VLOOKUP(A121,#REF!,4,0))*100</f>
        <v>#REF!</v>
      </c>
      <c r="E123" s="24"/>
      <c r="F123" s="1186"/>
      <c r="G123" s="81"/>
      <c r="H123" s="1186"/>
      <c r="I123" s="12"/>
      <c r="J123" s="53" t="s">
        <v>117</v>
      </c>
      <c r="K123" s="23"/>
      <c r="L123" s="75" t="e">
        <f>(L121/VLOOKUP(A121,#REF!,4,0))*100</f>
        <v>#REF!</v>
      </c>
      <c r="M123" s="1186"/>
      <c r="N123" s="12"/>
      <c r="O123" s="53" t="s">
        <v>117</v>
      </c>
      <c r="P123" s="64" t="e">
        <f>(P121/VLOOKUP(A121,#REF!,4,0))*100</f>
        <v>#REF!</v>
      </c>
      <c r="Q123" s="1186"/>
      <c r="R123" s="1"/>
      <c r="S123" s="1186"/>
      <c r="T123" s="1"/>
      <c r="U123" s="26"/>
    </row>
    <row r="124" spans="1:21" s="10" customFormat="1" ht="57" customHeight="1">
      <c r="A124" s="1199" t="s">
        <v>56</v>
      </c>
      <c r="B124" s="95"/>
      <c r="C124" s="38" t="s">
        <v>115</v>
      </c>
      <c r="D124" s="177">
        <v>26.5</v>
      </c>
      <c r="E124" s="1184"/>
      <c r="F124" s="1184" t="s">
        <v>101</v>
      </c>
      <c r="G124" s="89"/>
      <c r="H124" s="1184" t="s">
        <v>256</v>
      </c>
      <c r="I124" s="13"/>
      <c r="J124" s="175" t="s">
        <v>115</v>
      </c>
      <c r="K124" s="18"/>
      <c r="L124" s="79"/>
      <c r="M124" s="1184" t="s">
        <v>85</v>
      </c>
      <c r="N124" s="202"/>
      <c r="O124" s="175" t="s">
        <v>115</v>
      </c>
      <c r="P124" s="66"/>
      <c r="Q124" s="1184" t="s">
        <v>149</v>
      </c>
      <c r="R124" s="13"/>
      <c r="S124" s="18"/>
      <c r="T124" s="13"/>
      <c r="U124" s="25" t="s">
        <v>51</v>
      </c>
    </row>
    <row r="125" spans="1:21" s="10" customFormat="1" ht="36.65" customHeight="1">
      <c r="A125" s="1200"/>
      <c r="B125" s="85"/>
      <c r="C125" s="175" t="s">
        <v>116</v>
      </c>
      <c r="D125" s="63" t="e">
        <f>D124/VLOOKUP(A124,#REF!,7,0)</f>
        <v>#REF!</v>
      </c>
      <c r="E125" s="1185"/>
      <c r="F125" s="1185"/>
      <c r="G125" s="90"/>
      <c r="H125" s="1185"/>
      <c r="J125" s="175" t="s">
        <v>116</v>
      </c>
      <c r="K125" s="28"/>
      <c r="L125" s="73"/>
      <c r="M125" s="1185"/>
      <c r="N125" s="203"/>
      <c r="O125" s="175" t="s">
        <v>116</v>
      </c>
      <c r="P125" s="69"/>
      <c r="Q125" s="1185"/>
      <c r="S125" s="28"/>
      <c r="U125" s="27" t="s">
        <v>52</v>
      </c>
    </row>
    <row r="126" spans="1:21" ht="75.650000000000006" customHeight="1">
      <c r="A126" s="1201"/>
      <c r="B126" s="12"/>
      <c r="C126" s="53" t="s">
        <v>117</v>
      </c>
      <c r="D126" s="64" t="e">
        <f>(D124/VLOOKUP(A124,#REF!,4,0))*100</f>
        <v>#REF!</v>
      </c>
      <c r="E126" s="24"/>
      <c r="F126" s="1186"/>
      <c r="G126" s="81"/>
      <c r="H126" s="1186"/>
      <c r="I126" s="12"/>
      <c r="J126" s="53" t="s">
        <v>117</v>
      </c>
      <c r="K126" s="23"/>
      <c r="L126" s="75"/>
      <c r="M126" s="1186"/>
      <c r="N126" s="12"/>
      <c r="O126" s="53" t="s">
        <v>117</v>
      </c>
      <c r="P126" s="17"/>
      <c r="Q126" s="1186"/>
      <c r="R126" s="1"/>
      <c r="S126" s="19"/>
      <c r="T126" s="1"/>
      <c r="U126" s="26"/>
    </row>
    <row r="127" spans="1:21">
      <c r="A127" s="150"/>
      <c r="B127" s="35"/>
      <c r="C127" s="45"/>
      <c r="D127" s="151"/>
      <c r="E127" s="152"/>
      <c r="F127" s="37"/>
      <c r="G127" s="153"/>
      <c r="H127" s="147"/>
      <c r="I127" s="35"/>
      <c r="J127" s="45"/>
      <c r="K127" s="35"/>
      <c r="L127" s="154"/>
      <c r="M127" s="147"/>
      <c r="N127" s="35"/>
      <c r="O127" s="45"/>
      <c r="Q127" s="147"/>
      <c r="R127" s="55"/>
      <c r="S127" s="147"/>
      <c r="T127" s="55"/>
      <c r="U127" s="148"/>
    </row>
    <row r="128" spans="1:21" ht="13">
      <c r="A128" s="108" t="s">
        <v>128</v>
      </c>
      <c r="B128" s="109"/>
      <c r="C128" s="108"/>
      <c r="D128" s="110"/>
      <c r="E128" s="111"/>
      <c r="F128" s="109"/>
      <c r="G128" s="112"/>
      <c r="H128" s="113"/>
      <c r="I128" s="109"/>
      <c r="J128" s="113"/>
      <c r="K128" s="109"/>
      <c r="L128" s="114"/>
      <c r="M128" s="113"/>
      <c r="N128" s="109"/>
      <c r="O128" s="113"/>
      <c r="P128" s="115"/>
      <c r="Q128" s="113"/>
      <c r="R128" s="55"/>
      <c r="S128" s="98"/>
      <c r="T128" s="55"/>
      <c r="U128" s="100"/>
    </row>
    <row r="129" spans="1:21" s="10" customFormat="1" ht="31.5" customHeight="1">
      <c r="A129" s="1199" t="s">
        <v>37</v>
      </c>
      <c r="B129" s="95"/>
      <c r="C129" s="38" t="s">
        <v>115</v>
      </c>
      <c r="D129" s="177">
        <v>53.95</v>
      </c>
      <c r="E129" s="18" t="s">
        <v>86</v>
      </c>
      <c r="F129" s="1184" t="s">
        <v>257</v>
      </c>
      <c r="G129" s="89" t="s">
        <v>87</v>
      </c>
      <c r="H129" s="1184" t="s">
        <v>98</v>
      </c>
      <c r="I129" s="13"/>
      <c r="J129" s="175" t="s">
        <v>115</v>
      </c>
      <c r="K129" s="18"/>
      <c r="L129" s="117">
        <v>50</v>
      </c>
      <c r="M129" s="1184" t="s">
        <v>258</v>
      </c>
      <c r="N129" s="202"/>
      <c r="O129" s="175" t="s">
        <v>115</v>
      </c>
      <c r="P129" s="66"/>
      <c r="Q129" s="18"/>
      <c r="R129" s="13"/>
      <c r="S129" s="18"/>
      <c r="T129" s="13"/>
      <c r="U129" s="18"/>
    </row>
    <row r="130" spans="1:21" s="37" customFormat="1" ht="24.65" customHeight="1">
      <c r="A130" s="1200"/>
      <c r="B130" s="85"/>
      <c r="C130" s="175" t="s">
        <v>116</v>
      </c>
      <c r="D130" s="63" t="e">
        <f>D129/VLOOKUP(A129,#REF!,7,0)</f>
        <v>#REF!</v>
      </c>
      <c r="E130" s="28"/>
      <c r="F130" s="1185"/>
      <c r="G130" s="90"/>
      <c r="H130" s="1185"/>
      <c r="I130" s="10"/>
      <c r="J130" s="175" t="s">
        <v>116</v>
      </c>
      <c r="K130" s="28"/>
      <c r="L130" s="74" t="e">
        <f>L129/VLOOKUP(A129,#REF!,7,0)</f>
        <v>#REF!</v>
      </c>
      <c r="M130" s="1185"/>
      <c r="N130" s="203"/>
      <c r="O130" s="175" t="s">
        <v>116</v>
      </c>
      <c r="P130" s="69"/>
      <c r="Q130" s="28"/>
      <c r="R130" s="10"/>
      <c r="S130" s="28"/>
      <c r="T130" s="10"/>
      <c r="U130" s="28"/>
    </row>
    <row r="131" spans="1:21" ht="78" customHeight="1">
      <c r="A131" s="1201"/>
      <c r="B131" s="35"/>
      <c r="C131" s="175" t="s">
        <v>117</v>
      </c>
      <c r="D131" s="63" t="e">
        <f>(D129/VLOOKUP(A129,#REF!,4,0))*100</f>
        <v>#REF!</v>
      </c>
      <c r="E131" s="223"/>
      <c r="F131" s="1186"/>
      <c r="G131" s="217"/>
      <c r="H131" s="1186"/>
      <c r="I131" s="35"/>
      <c r="J131" s="175" t="s">
        <v>117</v>
      </c>
      <c r="K131" s="58"/>
      <c r="L131" s="74" t="e">
        <f>(L129/VLOOKUP(A129,#REF!,4,0))*100</f>
        <v>#REF!</v>
      </c>
      <c r="M131" s="1186"/>
      <c r="N131" s="35"/>
      <c r="O131" s="175" t="s">
        <v>117</v>
      </c>
      <c r="P131" s="82"/>
      <c r="Q131" s="206"/>
      <c r="R131" s="55"/>
      <c r="S131" s="206"/>
      <c r="T131" s="55"/>
      <c r="U131" s="219"/>
    </row>
    <row r="132" spans="1:21" s="224" customFormat="1" ht="35.15" customHeight="1">
      <c r="A132" s="1199" t="s">
        <v>38</v>
      </c>
      <c r="B132" s="244"/>
      <c r="C132" s="38" t="s">
        <v>115</v>
      </c>
      <c r="D132" s="191">
        <v>5.8</v>
      </c>
      <c r="E132" s="214" t="s">
        <v>53</v>
      </c>
      <c r="F132" s="1220" t="s">
        <v>270</v>
      </c>
      <c r="G132" s="209"/>
      <c r="H132" s="1184" t="s">
        <v>271</v>
      </c>
      <c r="I132" s="244"/>
      <c r="J132" s="38" t="s">
        <v>115</v>
      </c>
      <c r="K132" s="214"/>
      <c r="L132" s="79"/>
      <c r="M132" s="205"/>
      <c r="N132" s="244"/>
      <c r="O132" s="38" t="s">
        <v>115</v>
      </c>
      <c r="P132" s="216"/>
      <c r="Q132" s="205"/>
      <c r="R132" s="14"/>
      <c r="S132" s="205"/>
      <c r="T132" s="14"/>
      <c r="U132" s="205"/>
    </row>
    <row r="133" spans="1:21" ht="40" customHeight="1">
      <c r="A133" s="1200"/>
      <c r="B133" s="35"/>
      <c r="C133" s="32" t="s">
        <v>116</v>
      </c>
      <c r="D133" s="172" t="e">
        <f>D132/#REF!</f>
        <v>#REF!</v>
      </c>
      <c r="E133" s="34"/>
      <c r="F133" s="1221"/>
      <c r="G133" s="94"/>
      <c r="H133" s="1185"/>
      <c r="I133" s="35"/>
      <c r="J133" s="175" t="s">
        <v>116</v>
      </c>
      <c r="K133" s="36"/>
      <c r="L133" s="74"/>
      <c r="M133" s="28"/>
      <c r="N133" s="35"/>
      <c r="O133" s="175" t="s">
        <v>116</v>
      </c>
      <c r="P133" s="82"/>
      <c r="Q133" s="28"/>
      <c r="S133" s="28"/>
      <c r="U133" s="27"/>
    </row>
    <row r="134" spans="1:21" ht="29.5" customHeight="1">
      <c r="A134" s="1201"/>
      <c r="B134" s="12"/>
      <c r="C134" s="31" t="s">
        <v>117</v>
      </c>
      <c r="D134" s="173" t="e">
        <f>D132/#REF!*100</f>
        <v>#REF!</v>
      </c>
      <c r="E134" s="11"/>
      <c r="F134" s="1222"/>
      <c r="G134" s="81"/>
      <c r="H134" s="1186"/>
      <c r="I134" s="12"/>
      <c r="J134" s="53" t="s">
        <v>117</v>
      </c>
      <c r="K134" s="23"/>
      <c r="L134" s="75"/>
      <c r="M134" s="19"/>
      <c r="N134" s="12"/>
      <c r="O134" s="53" t="s">
        <v>117</v>
      </c>
      <c r="P134" s="17"/>
      <c r="Q134" s="19"/>
      <c r="R134" s="1"/>
      <c r="S134" s="19"/>
      <c r="T134" s="1"/>
      <c r="U134" s="26"/>
    </row>
    <row r="135" spans="1:21" s="10" customFormat="1" ht="40" customHeight="1">
      <c r="A135" s="1199" t="s">
        <v>29</v>
      </c>
      <c r="B135" s="95"/>
      <c r="C135" s="38" t="s">
        <v>115</v>
      </c>
      <c r="D135" s="1223" t="s">
        <v>84</v>
      </c>
      <c r="E135" s="18" t="s">
        <v>88</v>
      </c>
      <c r="F135" s="1184" t="s">
        <v>259</v>
      </c>
      <c r="G135" s="89"/>
      <c r="H135" s="1184" t="s">
        <v>123</v>
      </c>
      <c r="I135" s="13"/>
      <c r="J135" s="175" t="s">
        <v>115</v>
      </c>
      <c r="K135" s="18"/>
      <c r="L135" s="79"/>
      <c r="M135" s="18"/>
      <c r="N135" s="202"/>
      <c r="O135" s="175" t="s">
        <v>115</v>
      </c>
      <c r="P135" s="66"/>
      <c r="Q135" s="18"/>
      <c r="R135" s="13"/>
      <c r="S135" s="18"/>
      <c r="T135" s="13"/>
      <c r="U135" s="18"/>
    </row>
    <row r="136" spans="1:21" s="37" customFormat="1" ht="25" customHeight="1">
      <c r="A136" s="1200"/>
      <c r="B136" s="85"/>
      <c r="C136" s="175" t="s">
        <v>116</v>
      </c>
      <c r="D136" s="1224"/>
      <c r="E136" s="28"/>
      <c r="F136" s="1185"/>
      <c r="G136" s="90"/>
      <c r="H136" s="1185"/>
      <c r="I136" s="10"/>
      <c r="J136" s="175" t="s">
        <v>116</v>
      </c>
      <c r="K136" s="28"/>
      <c r="L136" s="73"/>
      <c r="M136" s="28"/>
      <c r="N136" s="203"/>
      <c r="O136" s="175" t="s">
        <v>116</v>
      </c>
      <c r="P136" s="69"/>
      <c r="Q136" s="28"/>
      <c r="R136" s="10"/>
      <c r="S136" s="28"/>
      <c r="T136" s="10"/>
      <c r="U136" s="28"/>
    </row>
    <row r="137" spans="1:21" ht="71.5" customHeight="1">
      <c r="A137" s="1201"/>
      <c r="B137" s="12"/>
      <c r="C137" s="31" t="s">
        <v>117</v>
      </c>
      <c r="D137" s="64"/>
      <c r="E137" s="24"/>
      <c r="F137" s="1186"/>
      <c r="G137" s="81"/>
      <c r="H137" s="1186"/>
      <c r="I137" s="12"/>
      <c r="J137" s="53" t="s">
        <v>117</v>
      </c>
      <c r="K137" s="23"/>
      <c r="L137" s="75"/>
      <c r="M137" s="23"/>
      <c r="N137" s="12"/>
      <c r="O137" s="53" t="s">
        <v>117</v>
      </c>
      <c r="P137" s="17"/>
      <c r="Q137" s="19"/>
      <c r="R137" s="1"/>
      <c r="S137" s="19"/>
      <c r="T137" s="1"/>
      <c r="U137" s="26"/>
    </row>
    <row r="138" spans="1:21" ht="39.65" customHeight="1">
      <c r="A138" s="1199" t="s">
        <v>93</v>
      </c>
      <c r="B138" s="14"/>
      <c r="C138" s="38" t="s">
        <v>115</v>
      </c>
      <c r="D138" s="177">
        <v>761</v>
      </c>
      <c r="E138" s="1220">
        <v>70</v>
      </c>
      <c r="F138" s="1184" t="s">
        <v>260</v>
      </c>
      <c r="G138" s="89"/>
      <c r="H138" s="1184" t="s">
        <v>261</v>
      </c>
      <c r="I138" s="14"/>
      <c r="J138" s="175" t="s">
        <v>115</v>
      </c>
      <c r="K138" s="20"/>
      <c r="L138" s="185"/>
      <c r="M138" s="1190"/>
      <c r="N138" s="14"/>
      <c r="O138" s="175" t="s">
        <v>115</v>
      </c>
      <c r="P138" s="66"/>
      <c r="Q138" s="1184"/>
      <c r="R138" s="14"/>
      <c r="S138" s="18"/>
      <c r="T138" s="14"/>
      <c r="U138" s="18"/>
    </row>
    <row r="139" spans="1:21" ht="56.5" customHeight="1">
      <c r="A139" s="1200"/>
      <c r="B139" s="37"/>
      <c r="C139" s="175" t="s">
        <v>116</v>
      </c>
      <c r="D139" s="63" t="e">
        <f>D138/#REF!</f>
        <v>#REF!</v>
      </c>
      <c r="E139" s="1221"/>
      <c r="F139" s="1185"/>
      <c r="G139" s="90"/>
      <c r="H139" s="1185"/>
      <c r="I139" s="37"/>
      <c r="J139" s="175" t="s">
        <v>116</v>
      </c>
      <c r="K139" s="30"/>
      <c r="L139" s="74"/>
      <c r="M139" s="1191"/>
      <c r="N139" s="37"/>
      <c r="O139" s="175" t="s">
        <v>116</v>
      </c>
      <c r="P139" s="69"/>
      <c r="Q139" s="1185"/>
      <c r="R139" s="37"/>
      <c r="S139" s="28"/>
      <c r="T139" s="37"/>
      <c r="U139" s="28"/>
    </row>
    <row r="140" spans="1:21" ht="89.5" customHeight="1">
      <c r="A140" s="1201"/>
      <c r="B140" s="12"/>
      <c r="C140" s="31" t="s">
        <v>117</v>
      </c>
      <c r="D140" s="64" t="e">
        <f>D138/#REF!*100</f>
        <v>#REF!</v>
      </c>
      <c r="E140" s="24"/>
      <c r="F140" s="1186"/>
      <c r="G140" s="81"/>
      <c r="H140" s="1186"/>
      <c r="I140" s="12"/>
      <c r="J140" s="53" t="s">
        <v>117</v>
      </c>
      <c r="K140" s="23"/>
      <c r="L140" s="75"/>
      <c r="M140" s="1192"/>
      <c r="N140" s="12"/>
      <c r="O140" s="53" t="s">
        <v>117</v>
      </c>
      <c r="P140" s="17"/>
      <c r="Q140" s="1186"/>
      <c r="R140" s="1"/>
      <c r="S140" s="19"/>
      <c r="T140" s="1"/>
      <c r="U140" s="26"/>
    </row>
    <row r="141" spans="1:21" ht="44.5" customHeight="1">
      <c r="A141" s="1199" t="s">
        <v>33</v>
      </c>
      <c r="B141" s="14"/>
      <c r="C141" s="38" t="s">
        <v>115</v>
      </c>
      <c r="D141" s="186">
        <f>36000+61700</f>
        <v>97700</v>
      </c>
      <c r="E141" s="20" t="s">
        <v>89</v>
      </c>
      <c r="F141" s="1220" t="s">
        <v>151</v>
      </c>
      <c r="G141" s="89">
        <f>80000-1800</f>
        <v>78200</v>
      </c>
      <c r="H141" s="1184" t="s">
        <v>180</v>
      </c>
      <c r="I141" s="14"/>
      <c r="J141" s="175" t="s">
        <v>115</v>
      </c>
      <c r="K141" s="20"/>
      <c r="L141" s="79"/>
      <c r="M141" s="18"/>
      <c r="N141" s="14"/>
      <c r="O141" s="175" t="s">
        <v>115</v>
      </c>
      <c r="P141" s="66"/>
      <c r="Q141" s="18"/>
      <c r="R141" s="14"/>
      <c r="S141" s="1184" t="s">
        <v>90</v>
      </c>
      <c r="T141" s="14"/>
      <c r="U141" s="18"/>
    </row>
    <row r="142" spans="1:21" ht="54" customHeight="1">
      <c r="A142" s="1200"/>
      <c r="B142" s="35"/>
      <c r="C142" s="32" t="s">
        <v>116</v>
      </c>
      <c r="D142" s="63" t="e">
        <f>D141/VLOOKUP(A141,#REF!,7,0)</f>
        <v>#REF!</v>
      </c>
      <c r="E142" s="34"/>
      <c r="F142" s="1221"/>
      <c r="G142" s="94"/>
      <c r="H142" s="1185"/>
      <c r="I142" s="35"/>
      <c r="J142" s="175" t="s">
        <v>116</v>
      </c>
      <c r="K142" s="36"/>
      <c r="L142" s="74"/>
      <c r="M142" s="28"/>
      <c r="N142" s="35"/>
      <c r="O142" s="175" t="s">
        <v>116</v>
      </c>
      <c r="P142" s="82"/>
      <c r="Q142" s="28"/>
      <c r="S142" s="1185"/>
      <c r="U142" s="27"/>
    </row>
    <row r="143" spans="1:21" ht="176.5" customHeight="1">
      <c r="A143" s="1201"/>
      <c r="B143" s="12"/>
      <c r="C143" s="31" t="s">
        <v>117</v>
      </c>
      <c r="D143" s="64" t="e">
        <f>(D141/VLOOKUP(A141,#REF!,4,0))*100</f>
        <v>#REF!</v>
      </c>
      <c r="E143" s="11"/>
      <c r="F143" s="1222"/>
      <c r="G143" s="81"/>
      <c r="H143" s="1186"/>
      <c r="I143" s="12"/>
      <c r="J143" s="53" t="s">
        <v>117</v>
      </c>
      <c r="K143" s="23"/>
      <c r="L143" s="75"/>
      <c r="M143" s="19"/>
      <c r="N143" s="12"/>
      <c r="O143" s="53" t="s">
        <v>117</v>
      </c>
      <c r="P143" s="17"/>
      <c r="Q143" s="19"/>
      <c r="R143" s="1"/>
      <c r="S143" s="1186"/>
      <c r="T143" s="1"/>
      <c r="U143" s="26"/>
    </row>
    <row r="144" spans="1:21">
      <c r="A144" s="35" t="s">
        <v>108</v>
      </c>
      <c r="B144" s="35"/>
      <c r="D144" s="124"/>
      <c r="E144" s="125"/>
      <c r="F144" s="35"/>
      <c r="G144" s="35"/>
      <c r="I144" s="35"/>
      <c r="K144" s="35"/>
      <c r="L144" s="126"/>
      <c r="N144" s="35"/>
      <c r="P144" s="124"/>
    </row>
    <row r="145" spans="1:21" ht="14.5" customHeight="1">
      <c r="A145" s="1245" t="s">
        <v>265</v>
      </c>
      <c r="B145" s="1245"/>
      <c r="C145" s="1245"/>
      <c r="D145" s="1245"/>
      <c r="E145" s="1245"/>
      <c r="F145" s="1245"/>
      <c r="G145" s="1245"/>
      <c r="H145" s="1245"/>
      <c r="I145" s="1245"/>
      <c r="J145" s="1245"/>
      <c r="K145" s="1245"/>
      <c r="L145" s="1245"/>
      <c r="M145" s="1245"/>
      <c r="N145" s="1245"/>
      <c r="O145" s="1245"/>
      <c r="P145" s="1245"/>
      <c r="Q145" s="1245"/>
    </row>
    <row r="146" spans="1:21">
      <c r="A146" s="35" t="s">
        <v>202</v>
      </c>
    </row>
    <row r="147" spans="1:21">
      <c r="A147" s="33" t="s">
        <v>201</v>
      </c>
    </row>
    <row r="148" spans="1:21">
      <c r="A148" s="35" t="s">
        <v>194</v>
      </c>
      <c r="F148" s="55"/>
      <c r="G148" s="55"/>
      <c r="I148" s="55"/>
      <c r="K148" s="55"/>
      <c r="R148" s="55"/>
      <c r="T148" s="55"/>
      <c r="U148" s="196"/>
    </row>
    <row r="149" spans="1:21">
      <c r="A149" s="35" t="s">
        <v>200</v>
      </c>
    </row>
  </sheetData>
  <mergeCells count="234">
    <mergeCell ref="Q22:Q24"/>
    <mergeCell ref="A4:Q4"/>
    <mergeCell ref="A145:Q145"/>
    <mergeCell ref="Q72:Q74"/>
    <mergeCell ref="M72:M74"/>
    <mergeCell ref="F60:F62"/>
    <mergeCell ref="H60:H62"/>
    <mergeCell ref="M60:M62"/>
    <mergeCell ref="H63:H65"/>
    <mergeCell ref="F66:F68"/>
    <mergeCell ref="H66:H68"/>
    <mergeCell ref="M66:M68"/>
    <mergeCell ref="F13:F15"/>
    <mergeCell ref="H13:H15"/>
    <mergeCell ref="M13:M15"/>
    <mergeCell ref="Q13:Q15"/>
    <mergeCell ref="F19:F21"/>
    <mergeCell ref="H19:H21"/>
    <mergeCell ref="H100:H102"/>
    <mergeCell ref="Q19:Q21"/>
    <mergeCell ref="F37:F39"/>
    <mergeCell ref="H37:H39"/>
    <mergeCell ref="A77:A79"/>
    <mergeCell ref="A10:A12"/>
    <mergeCell ref="F25:F27"/>
    <mergeCell ref="A16:A18"/>
    <mergeCell ref="A69:A71"/>
    <mergeCell ref="A51:A53"/>
    <mergeCell ref="F45:F47"/>
    <mergeCell ref="H45:H47"/>
    <mergeCell ref="H25:H27"/>
    <mergeCell ref="A92:A94"/>
    <mergeCell ref="A97:A99"/>
    <mergeCell ref="A34:A36"/>
    <mergeCell ref="A48:A50"/>
    <mergeCell ref="H51:H53"/>
    <mergeCell ref="F51:F53"/>
    <mergeCell ref="A45:A47"/>
    <mergeCell ref="E69:E70"/>
    <mergeCell ref="H69:H71"/>
    <mergeCell ref="A86:A88"/>
    <mergeCell ref="A83:A85"/>
    <mergeCell ref="A72:A74"/>
    <mergeCell ref="A66:A68"/>
    <mergeCell ref="A54:A56"/>
    <mergeCell ref="F63:F65"/>
    <mergeCell ref="A63:A65"/>
    <mergeCell ref="A60:A62"/>
    <mergeCell ref="H10:H12"/>
    <mergeCell ref="U10:U12"/>
    <mergeCell ref="U22:U24"/>
    <mergeCell ref="S48:S50"/>
    <mergeCell ref="S16:S18"/>
    <mergeCell ref="S51:S53"/>
    <mergeCell ref="F48:F50"/>
    <mergeCell ref="H48:H50"/>
    <mergeCell ref="M48:M50"/>
    <mergeCell ref="Q48:Q50"/>
    <mergeCell ref="M10:M12"/>
    <mergeCell ref="Q10:Q12"/>
    <mergeCell ref="F16:F18"/>
    <mergeCell ref="H16:H18"/>
    <mergeCell ref="Q16:Q18"/>
    <mergeCell ref="S22:S24"/>
    <mergeCell ref="S25:S27"/>
    <mergeCell ref="M25:M27"/>
    <mergeCell ref="F22:F24"/>
    <mergeCell ref="H22:H24"/>
    <mergeCell ref="F31:F33"/>
    <mergeCell ref="H31:H33"/>
    <mergeCell ref="M31:M33"/>
    <mergeCell ref="S37:S39"/>
    <mergeCell ref="M28:M30"/>
    <mergeCell ref="E34:E35"/>
    <mergeCell ref="C7:H7"/>
    <mergeCell ref="A40:A42"/>
    <mergeCell ref="S40:S42"/>
    <mergeCell ref="S28:S30"/>
    <mergeCell ref="S31:S33"/>
    <mergeCell ref="U31:U33"/>
    <mergeCell ref="U37:U39"/>
    <mergeCell ref="A13:A15"/>
    <mergeCell ref="A19:A21"/>
    <mergeCell ref="A22:A24"/>
    <mergeCell ref="A25:A27"/>
    <mergeCell ref="A28:A30"/>
    <mergeCell ref="A31:A33"/>
    <mergeCell ref="M22:M24"/>
    <mergeCell ref="Q37:Q39"/>
    <mergeCell ref="F40:F42"/>
    <mergeCell ref="H40:H42"/>
    <mergeCell ref="M40:M42"/>
    <mergeCell ref="A37:A39"/>
    <mergeCell ref="M37:M39"/>
    <mergeCell ref="F10:F12"/>
    <mergeCell ref="S10:S12"/>
    <mergeCell ref="M69:M71"/>
    <mergeCell ref="H72:H74"/>
    <mergeCell ref="H54:H56"/>
    <mergeCell ref="Q34:Q36"/>
    <mergeCell ref="F34:F36"/>
    <mergeCell ref="M45:M47"/>
    <mergeCell ref="Q45:Q47"/>
    <mergeCell ref="Q80:Q82"/>
    <mergeCell ref="F54:F55"/>
    <mergeCell ref="F57:F59"/>
    <mergeCell ref="U34:U36"/>
    <mergeCell ref="U103:U105"/>
    <mergeCell ref="M103:M105"/>
    <mergeCell ref="H80:H82"/>
    <mergeCell ref="M80:M82"/>
    <mergeCell ref="M86:M88"/>
    <mergeCell ref="Q86:Q88"/>
    <mergeCell ref="S86:S88"/>
    <mergeCell ref="U86:U88"/>
    <mergeCell ref="M83:M85"/>
    <mergeCell ref="P83:P85"/>
    <mergeCell ref="Q83:Q85"/>
    <mergeCell ref="S83:S85"/>
    <mergeCell ref="S77:S79"/>
    <mergeCell ref="Q77:Q79"/>
    <mergeCell ref="Q92:Q94"/>
    <mergeCell ref="S100:S102"/>
    <mergeCell ref="M100:M102"/>
    <mergeCell ref="Q97:Q99"/>
    <mergeCell ref="H97:H99"/>
    <mergeCell ref="U60:U62"/>
    <mergeCell ref="S103:S105"/>
    <mergeCell ref="H57:H59"/>
    <mergeCell ref="S60:S62"/>
    <mergeCell ref="U83:U85"/>
    <mergeCell ref="E72:E73"/>
    <mergeCell ref="G72:G73"/>
    <mergeCell ref="F77:F79"/>
    <mergeCell ref="M106:M108"/>
    <mergeCell ref="E86:E87"/>
    <mergeCell ref="E83:E84"/>
    <mergeCell ref="E92:E93"/>
    <mergeCell ref="F100:F102"/>
    <mergeCell ref="E97:E98"/>
    <mergeCell ref="F97:F99"/>
    <mergeCell ref="F106:F108"/>
    <mergeCell ref="H83:H85"/>
    <mergeCell ref="F89:F91"/>
    <mergeCell ref="H89:H91"/>
    <mergeCell ref="M89:M91"/>
    <mergeCell ref="E80:E81"/>
    <mergeCell ref="V13:V15"/>
    <mergeCell ref="S141:S143"/>
    <mergeCell ref="M63:M65"/>
    <mergeCell ref="H77:H79"/>
    <mergeCell ref="M77:M79"/>
    <mergeCell ref="F80:F82"/>
    <mergeCell ref="E121:E122"/>
    <mergeCell ref="E118:E119"/>
    <mergeCell ref="A132:A134"/>
    <mergeCell ref="F132:F134"/>
    <mergeCell ref="H132:H134"/>
    <mergeCell ref="D135:D136"/>
    <mergeCell ref="E124:E125"/>
    <mergeCell ref="Q124:Q126"/>
    <mergeCell ref="F103:F105"/>
    <mergeCell ref="E138:E139"/>
    <mergeCell ref="A141:A143"/>
    <mergeCell ref="H141:H143"/>
    <mergeCell ref="F141:F143"/>
    <mergeCell ref="U54:U56"/>
    <mergeCell ref="A57:A59"/>
    <mergeCell ref="H106:H108"/>
    <mergeCell ref="S80:S81"/>
    <mergeCell ref="U66:U67"/>
    <mergeCell ref="A138:A140"/>
    <mergeCell ref="A135:A137"/>
    <mergeCell ref="A129:A131"/>
    <mergeCell ref="F129:F131"/>
    <mergeCell ref="H129:H131"/>
    <mergeCell ref="M129:M131"/>
    <mergeCell ref="A100:A102"/>
    <mergeCell ref="A106:A108"/>
    <mergeCell ref="A103:A105"/>
    <mergeCell ref="A124:A126"/>
    <mergeCell ref="H124:H126"/>
    <mergeCell ref="F124:F126"/>
    <mergeCell ref="M124:M126"/>
    <mergeCell ref="F118:F120"/>
    <mergeCell ref="H118:H120"/>
    <mergeCell ref="A118:A120"/>
    <mergeCell ref="A121:A123"/>
    <mergeCell ref="F121:F123"/>
    <mergeCell ref="H121:H123"/>
    <mergeCell ref="M121:M123"/>
    <mergeCell ref="S121:S123"/>
    <mergeCell ref="Q89:Q91"/>
    <mergeCell ref="F112:F114"/>
    <mergeCell ref="H112:H114"/>
    <mergeCell ref="M112:M114"/>
    <mergeCell ref="A112:A114"/>
    <mergeCell ref="Q112:Q114"/>
    <mergeCell ref="F115:F117"/>
    <mergeCell ref="H115:H117"/>
    <mergeCell ref="M115:M117"/>
    <mergeCell ref="A115:A117"/>
    <mergeCell ref="Q115:Q117"/>
    <mergeCell ref="F109:F111"/>
    <mergeCell ref="H109:H111"/>
    <mergeCell ref="M109:M111"/>
    <mergeCell ref="Q109:Q111"/>
    <mergeCell ref="A109:A111"/>
    <mergeCell ref="E109:E110"/>
    <mergeCell ref="A89:A91"/>
    <mergeCell ref="J7:M7"/>
    <mergeCell ref="O7:Q7"/>
    <mergeCell ref="Q138:Q140"/>
    <mergeCell ref="H103:H105"/>
    <mergeCell ref="M34:M36"/>
    <mergeCell ref="Q63:Q65"/>
    <mergeCell ref="H92:H94"/>
    <mergeCell ref="Q57:Q59"/>
    <mergeCell ref="F69:F71"/>
    <mergeCell ref="F86:F88"/>
    <mergeCell ref="H86:H88"/>
    <mergeCell ref="Q118:Q120"/>
    <mergeCell ref="M118:M120"/>
    <mergeCell ref="H34:H36"/>
    <mergeCell ref="Q121:Q123"/>
    <mergeCell ref="F138:F140"/>
    <mergeCell ref="H138:H140"/>
    <mergeCell ref="M138:M140"/>
    <mergeCell ref="F135:F137"/>
    <mergeCell ref="H135:H137"/>
    <mergeCell ref="Q25:Q27"/>
    <mergeCell ref="F28:F30"/>
    <mergeCell ref="H28:H30"/>
    <mergeCell ref="Q28:Q30"/>
  </mergeCells>
  <hyperlinks>
    <hyperlink ref="U54" r:id="rId1" xr:uid="{80CCA302-5EBC-4E3E-91A7-E266607843B7}"/>
    <hyperlink ref="U60" r:id="rId2" xr:uid="{502597CD-49B4-4A44-9218-F42AB14C6F53}"/>
    <hyperlink ref="U66" r:id="rId3" xr:uid="{68AFD4EB-4BB0-490C-9A8C-14EF06AAB104}"/>
    <hyperlink ref="U13" r:id="rId4" xr:uid="{9C35FC06-81C8-432F-AA08-649C4F72AE59}"/>
    <hyperlink ref="U19" r:id="rId5" xr:uid="{3D95A044-497B-4FD6-9CE4-A07B94861A86}"/>
    <hyperlink ref="U25" r:id="rId6" xr:uid="{8BECACBD-4F3D-4FAE-BEAF-54DBA8A96158}"/>
    <hyperlink ref="U22" r:id="rId7" xr:uid="{A7DF9E46-9684-4062-8A4C-7E4F73026E40}"/>
    <hyperlink ref="U31" r:id="rId8" xr:uid="{BF45A2AD-96BE-4F07-B5D7-ADC1C7BEB547}"/>
    <hyperlink ref="U37" r:id="rId9" xr:uid="{18C57F5C-2C2F-4B8E-A412-2891FA199D60}"/>
    <hyperlink ref="U77" r:id="rId10" xr:uid="{44D8861C-5C56-4A60-A43A-D7A789C22254}"/>
    <hyperlink ref="U80" r:id="rId11" xr:uid="{615B797E-51C7-4C6B-823A-2FBA6E68136A}"/>
    <hyperlink ref="U83" r:id="rId12" xr:uid="{9E2E6B8E-49D8-4780-8D6F-465FC5EC83C0}"/>
    <hyperlink ref="U86" r:id="rId13" xr:uid="{3FCE005B-121F-4BD3-B4F9-87B1EBFEA7AD}"/>
    <hyperlink ref="U34" r:id="rId14" xr:uid="{0A64EFC4-C08B-4131-A6F2-77643EA9C68B}"/>
    <hyperlink ref="U103" r:id="rId15" xr:uid="{0797C9F6-7E5E-4E38-927B-00DAE27345CE}"/>
    <hyperlink ref="U124" r:id="rId16" xr:uid="{1A285C45-12B5-44D0-8A30-94A73B0596E4}"/>
    <hyperlink ref="U125" r:id="rId17" xr:uid="{EF26584C-7D39-4205-BF95-3B581DE54FB0}"/>
    <hyperlink ref="U78" r:id="rId18" xr:uid="{ACA320E4-2E4A-40D4-A1EB-43B29BAA94E8}"/>
    <hyperlink ref="V10" r:id="rId19" display="https://treasury.gov.au/coronavirus" xr:uid="{8A1DBA67-D253-41FC-ACAD-48894FBD3EAC}"/>
    <hyperlink ref="U10" r:id="rId20" xr:uid="{8A1DBA67-D253-41FC-ACAD-48894FBD3EAC}"/>
    <hyperlink ref="U26" r:id="rId21" xr:uid="{33A7A0C8-1DF1-4D90-B4CB-2998F54B8D49}"/>
    <hyperlink ref="U118" r:id="rId22" display="https://urldefense.proofpoint.com/v2/url?u=https-3A__www.gov.pl_web_tarczaantykryzysowa&amp;d=DwMFBA&amp;c=G8CoXqdZ57E1EOn2t2CVrg&amp;r=1dNmfCwUPm-Zyfp8PIjgpWCvO5QO5p2LM0QGFAzgPvI&amp;m=nz2rsJenFWhU9KRBhOJ8maK12Et9Tar9PrzSGpsIzBw&amp;s=CAY3fc6DLo3KDD4wEX63BZhcse8VIq2LHFGPVw4INzI&amp;e=" xr:uid="{EA3CCD2A-D439-4645-BFB0-825CC8110271}"/>
  </hyperlinks>
  <pageMargins left="0.7" right="0.7" top="0.75" bottom="0.75" header="0.3" footer="0.3"/>
  <pageSetup scale="54" fitToHeight="0" orientation="landscape" r:id="rId23"/>
  <rowBreaks count="10" manualBreakCount="10">
    <brk id="21" max="15" man="1"/>
    <brk id="33" max="17" man="1"/>
    <brk id="42" max="17" man="1"/>
    <brk id="53" max="17" man="1"/>
    <brk id="62" max="17" man="1"/>
    <brk id="75" max="17" man="1"/>
    <brk id="88" max="17" man="1"/>
    <brk id="105" max="17" man="1"/>
    <brk id="120" max="17" man="1"/>
    <brk id="137" max="17" man="1"/>
  </rowBreaks>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311F-A208-41D3-92BB-D5F495C161CC}">
  <sheetPr>
    <tabColor rgb="FFFF0000"/>
    <pageSetUpPr fitToPage="1"/>
  </sheetPr>
  <dimension ref="A1:BA214"/>
  <sheetViews>
    <sheetView showGridLines="0" view="pageBreakPreview" zoomScaleNormal="100" zoomScaleSheetLayoutView="100" workbookViewId="0">
      <pane xSplit="2" ySplit="7" topLeftCell="C113" activePane="bottomRight" state="frozen"/>
      <selection activeCell="D123" sqref="D123:D125"/>
      <selection pane="topRight" activeCell="D123" sqref="D123:D125"/>
      <selection pane="bottomLeft" activeCell="D123" sqref="D123:D125"/>
      <selection pane="bottomRight" activeCell="D123" sqref="D123:D125"/>
    </sheetView>
  </sheetViews>
  <sheetFormatPr defaultColWidth="9.1796875" defaultRowHeight="12.5"/>
  <cols>
    <col min="1" max="1" width="10.1796875" style="479" customWidth="1"/>
    <col min="2" max="2" width="26.54296875" style="352" customWidth="1"/>
    <col min="3" max="3" width="8" style="352" customWidth="1"/>
    <col min="4" max="4" width="6.453125" style="352" customWidth="1"/>
    <col min="5" max="5" width="8.1796875" style="352" bestFit="1" customWidth="1"/>
    <col min="6" max="6" width="9.81640625" style="352" customWidth="1"/>
    <col min="7" max="7" width="2.1796875" style="352" customWidth="1"/>
    <col min="8" max="8" width="8.1796875" style="352" customWidth="1"/>
    <col min="9" max="9" width="18.81640625" style="352" customWidth="1"/>
    <col min="10" max="10" width="1.81640625" style="352" customWidth="1"/>
    <col min="11" max="11" width="9.1796875" style="352" customWidth="1"/>
    <col min="12" max="12" width="8.54296875" style="352" bestFit="1" customWidth="1"/>
    <col min="13" max="13" width="2.1796875" style="352" customWidth="1"/>
    <col min="14" max="14" width="1.1796875" style="352" customWidth="1"/>
    <col min="15" max="15" width="6.81640625" style="352" customWidth="1"/>
    <col min="16" max="16" width="5.81640625" style="352" customWidth="1"/>
    <col min="17" max="17" width="7.81640625" style="352" bestFit="1" customWidth="1"/>
    <col min="18" max="18" width="9.81640625" style="352" customWidth="1"/>
    <col min="19" max="19" width="1.81640625" style="352" customWidth="1"/>
    <col min="20" max="20" width="6.81640625" style="352" customWidth="1"/>
    <col min="21" max="21" width="18.81640625" style="352" customWidth="1"/>
    <col min="22" max="22" width="1.54296875" style="352" customWidth="1"/>
    <col min="23" max="23" width="8.81640625" style="352" customWidth="1"/>
    <col min="24" max="24" width="10.81640625" style="352" customWidth="1"/>
    <col min="25" max="25" width="1.54296875" style="479" customWidth="1"/>
    <col min="26" max="26" width="9.1796875" style="479"/>
    <col min="27" max="27" width="11.453125" style="479" bestFit="1" customWidth="1"/>
    <col min="28" max="28" width="9.1796875" style="479"/>
    <col min="29" max="29" width="26.54296875" style="479" customWidth="1"/>
    <col min="30" max="16384" width="9.1796875" style="479"/>
  </cols>
  <sheetData>
    <row r="1" spans="1:53" ht="15.75" customHeight="1">
      <c r="B1" s="816" t="s">
        <v>898</v>
      </c>
      <c r="I1" s="817"/>
      <c r="J1" s="817"/>
      <c r="K1" s="817"/>
      <c r="L1" s="817"/>
      <c r="AA1" s="479" t="s">
        <v>1268</v>
      </c>
      <c r="AB1" s="479" t="s">
        <v>1266</v>
      </c>
      <c r="AC1" s="557"/>
    </row>
    <row r="2" spans="1:53" ht="15.75" customHeight="1">
      <c r="B2" s="818" t="s">
        <v>774</v>
      </c>
      <c r="I2" s="817"/>
      <c r="J2" s="817"/>
      <c r="K2" s="817"/>
      <c r="L2" s="817"/>
      <c r="AC2" s="569"/>
      <c r="AE2" s="480" t="s">
        <v>1297</v>
      </c>
    </row>
    <row r="3" spans="1:53" ht="15.75" customHeight="1">
      <c r="B3" s="1343" t="s">
        <v>437</v>
      </c>
      <c r="C3" s="1344"/>
      <c r="D3" s="1344"/>
      <c r="E3" s="1344"/>
      <c r="F3" s="1344"/>
      <c r="G3" s="1344"/>
      <c r="H3" s="1344"/>
      <c r="I3" s="1344"/>
      <c r="J3" s="1344"/>
      <c r="K3" s="1344"/>
      <c r="L3" s="1344"/>
      <c r="M3" s="819"/>
      <c r="N3" s="1343" t="s">
        <v>456</v>
      </c>
      <c r="O3" s="1344"/>
      <c r="P3" s="1344"/>
      <c r="Q3" s="1344"/>
      <c r="R3" s="1344"/>
      <c r="S3" s="1344"/>
      <c r="T3" s="1344"/>
      <c r="U3" s="1344"/>
      <c r="V3" s="1344"/>
      <c r="W3" s="1344"/>
      <c r="X3" s="1344"/>
      <c r="AE3" s="1343" t="s">
        <v>437</v>
      </c>
      <c r="AF3" s="1344"/>
      <c r="AG3" s="1344"/>
      <c r="AH3" s="1344"/>
      <c r="AI3" s="1344"/>
      <c r="AJ3" s="1344"/>
      <c r="AK3" s="1344"/>
      <c r="AL3" s="1344"/>
      <c r="AM3" s="1344"/>
      <c r="AN3" s="1344"/>
      <c r="AO3" s="1344"/>
      <c r="AP3" s="819"/>
      <c r="AQ3" s="1343" t="s">
        <v>456</v>
      </c>
      <c r="AR3" s="1344"/>
      <c r="AS3" s="1344"/>
      <c r="AT3" s="1344"/>
      <c r="AU3" s="1344"/>
      <c r="AV3" s="1344"/>
      <c r="AW3" s="1344"/>
      <c r="AX3" s="1344"/>
      <c r="AY3" s="1344"/>
      <c r="AZ3" s="1344"/>
      <c r="BA3" s="1344"/>
    </row>
    <row r="4" spans="1:53" ht="11.15" customHeight="1">
      <c r="A4" s="559"/>
      <c r="B4" s="820"/>
      <c r="C4" s="1330" t="s">
        <v>586</v>
      </c>
      <c r="D4" s="1330"/>
      <c r="E4" s="1330"/>
      <c r="F4" s="1330"/>
      <c r="G4" s="821"/>
      <c r="H4" s="1341" t="s">
        <v>773</v>
      </c>
      <c r="I4" s="1341"/>
      <c r="J4" s="1341"/>
      <c r="K4" s="1341"/>
      <c r="L4" s="1341"/>
      <c r="M4" s="822"/>
      <c r="N4" s="823"/>
      <c r="O4" s="1330" t="s">
        <v>586</v>
      </c>
      <c r="P4" s="1330"/>
      <c r="Q4" s="1330"/>
      <c r="R4" s="1330"/>
      <c r="S4" s="821"/>
      <c r="T4" s="1341" t="s">
        <v>773</v>
      </c>
      <c r="U4" s="1341"/>
      <c r="V4" s="1341"/>
      <c r="W4" s="1341"/>
      <c r="X4" s="1341"/>
      <c r="AC4" s="571"/>
      <c r="AE4" s="820"/>
      <c r="AF4" s="1330" t="s">
        <v>586</v>
      </c>
      <c r="AG4" s="1330"/>
      <c r="AH4" s="1330"/>
      <c r="AI4" s="1330"/>
      <c r="AJ4" s="821"/>
      <c r="AK4" s="1341" t="s">
        <v>773</v>
      </c>
      <c r="AL4" s="1341"/>
      <c r="AM4" s="1341"/>
      <c r="AN4" s="1341"/>
      <c r="AO4" s="1341"/>
      <c r="AP4" s="822"/>
      <c r="AQ4" s="823"/>
      <c r="AR4" s="1330" t="s">
        <v>586</v>
      </c>
      <c r="AS4" s="1330"/>
      <c r="AT4" s="1330"/>
      <c r="AU4" s="1330"/>
      <c r="AV4" s="821"/>
      <c r="AW4" s="1341" t="s">
        <v>773</v>
      </c>
      <c r="AX4" s="1341"/>
      <c r="AY4" s="1341"/>
      <c r="AZ4" s="1341"/>
      <c r="BA4" s="1341"/>
    </row>
    <row r="5" spans="1:53" ht="27" customHeight="1">
      <c r="A5" s="559"/>
      <c r="B5" s="820"/>
      <c r="C5" s="1341" t="s">
        <v>770</v>
      </c>
      <c r="D5" s="1341"/>
      <c r="E5" s="1341"/>
      <c r="F5" s="1342" t="s">
        <v>771</v>
      </c>
      <c r="G5" s="821"/>
      <c r="H5" s="824"/>
      <c r="I5" s="1338" t="s">
        <v>778</v>
      </c>
      <c r="J5" s="824"/>
      <c r="K5" s="1330" t="s">
        <v>211</v>
      </c>
      <c r="L5" s="1330"/>
      <c r="M5" s="822"/>
      <c r="N5" s="823"/>
      <c r="O5" s="1341" t="s">
        <v>770</v>
      </c>
      <c r="P5" s="1341"/>
      <c r="Q5" s="1341"/>
      <c r="R5" s="1342" t="s">
        <v>771</v>
      </c>
      <c r="S5" s="821"/>
      <c r="T5" s="824"/>
      <c r="U5" s="1338" t="s">
        <v>778</v>
      </c>
      <c r="V5" s="824"/>
      <c r="W5" s="1330" t="s">
        <v>211</v>
      </c>
      <c r="X5" s="1330"/>
      <c r="AC5" s="571"/>
      <c r="AE5" s="820"/>
      <c r="AF5" s="1341" t="s">
        <v>770</v>
      </c>
      <c r="AG5" s="1341"/>
      <c r="AH5" s="1341"/>
      <c r="AI5" s="1342" t="s">
        <v>771</v>
      </c>
      <c r="AJ5" s="821"/>
      <c r="AK5" s="824"/>
      <c r="AL5" s="1338" t="s">
        <v>778</v>
      </c>
      <c r="AM5" s="824"/>
      <c r="AN5" s="1330" t="s">
        <v>211</v>
      </c>
      <c r="AO5" s="1330"/>
      <c r="AP5" s="822"/>
      <c r="AQ5" s="823"/>
      <c r="AR5" s="1341" t="s">
        <v>770</v>
      </c>
      <c r="AS5" s="1341"/>
      <c r="AT5" s="1341"/>
      <c r="AU5" s="1342" t="s">
        <v>771</v>
      </c>
      <c r="AV5" s="821"/>
      <c r="AW5" s="824"/>
      <c r="AX5" s="1338" t="s">
        <v>778</v>
      </c>
      <c r="AY5" s="824"/>
      <c r="AZ5" s="1330" t="s">
        <v>211</v>
      </c>
      <c r="BA5" s="1330"/>
    </row>
    <row r="6" spans="1:53" ht="29.5" customHeight="1">
      <c r="A6" s="559"/>
      <c r="B6" s="825"/>
      <c r="C6" s="577" t="s">
        <v>429</v>
      </c>
      <c r="D6" s="1005" t="s">
        <v>769</v>
      </c>
      <c r="E6" s="1005" t="s">
        <v>772</v>
      </c>
      <c r="F6" s="1335"/>
      <c r="G6" s="826"/>
      <c r="H6" s="580" t="s">
        <v>429</v>
      </c>
      <c r="I6" s="1337"/>
      <c r="J6" s="581"/>
      <c r="K6" s="581" t="s">
        <v>587</v>
      </c>
      <c r="L6" s="581" t="s">
        <v>588</v>
      </c>
      <c r="M6" s="827"/>
      <c r="N6" s="828"/>
      <c r="O6" s="577" t="s">
        <v>429</v>
      </c>
      <c r="P6" s="1005" t="s">
        <v>769</v>
      </c>
      <c r="Q6" s="1005" t="s">
        <v>772</v>
      </c>
      <c r="R6" s="1335"/>
      <c r="S6" s="826"/>
      <c r="T6" s="580" t="s">
        <v>429</v>
      </c>
      <c r="U6" s="1337"/>
      <c r="V6" s="581"/>
      <c r="W6" s="581" t="s">
        <v>587</v>
      </c>
      <c r="X6" s="1005" t="s">
        <v>588</v>
      </c>
      <c r="AC6" s="576"/>
      <c r="AE6" s="825"/>
      <c r="AF6" s="577" t="s">
        <v>429</v>
      </c>
      <c r="AG6" s="1005" t="s">
        <v>769</v>
      </c>
      <c r="AH6" s="1005" t="s">
        <v>772</v>
      </c>
      <c r="AI6" s="1335"/>
      <c r="AJ6" s="826"/>
      <c r="AK6" s="580" t="s">
        <v>429</v>
      </c>
      <c r="AL6" s="1337"/>
      <c r="AM6" s="581"/>
      <c r="AN6" s="581" t="s">
        <v>587</v>
      </c>
      <c r="AO6" s="581" t="s">
        <v>588</v>
      </c>
      <c r="AP6" s="827"/>
      <c r="AQ6" s="828"/>
      <c r="AR6" s="577" t="s">
        <v>429</v>
      </c>
      <c r="AS6" s="1005" t="s">
        <v>769</v>
      </c>
      <c r="AT6" s="1005" t="s">
        <v>772</v>
      </c>
      <c r="AU6" s="1335"/>
      <c r="AV6" s="826"/>
      <c r="AW6" s="580" t="s">
        <v>429</v>
      </c>
      <c r="AX6" s="1337"/>
      <c r="AY6" s="581"/>
      <c r="AZ6" s="581" t="s">
        <v>587</v>
      </c>
      <c r="BA6" s="1005" t="s">
        <v>588</v>
      </c>
    </row>
    <row r="7" spans="1:53">
      <c r="A7" s="829" t="s">
        <v>775</v>
      </c>
      <c r="B7" s="829" t="s">
        <v>775</v>
      </c>
      <c r="C7" s="830"/>
      <c r="D7" s="830"/>
      <c r="E7" s="830"/>
      <c r="F7" s="830"/>
      <c r="G7" s="830"/>
      <c r="H7" s="830"/>
      <c r="I7" s="830"/>
      <c r="J7" s="830"/>
      <c r="K7" s="830"/>
      <c r="L7" s="830"/>
      <c r="AC7" s="561"/>
      <c r="AE7" s="829" t="s">
        <v>775</v>
      </c>
      <c r="AF7" s="830"/>
      <c r="AG7" s="830"/>
      <c r="AH7" s="830"/>
      <c r="AI7" s="830"/>
      <c r="AJ7" s="830"/>
      <c r="AK7" s="830"/>
      <c r="AL7" s="830"/>
      <c r="AM7" s="830"/>
      <c r="AN7" s="830"/>
      <c r="AO7" s="830"/>
      <c r="AP7" s="352"/>
      <c r="AQ7" s="352"/>
      <c r="AR7" s="352"/>
      <c r="AS7" s="352"/>
      <c r="AT7" s="352"/>
      <c r="AU7" s="352"/>
      <c r="AV7" s="352"/>
      <c r="AW7" s="352"/>
      <c r="AX7" s="352"/>
      <c r="AY7" s="352"/>
      <c r="AZ7" s="352"/>
      <c r="BA7" s="352"/>
    </row>
    <row r="8" spans="1:53">
      <c r="A8" s="764" t="s">
        <v>0</v>
      </c>
      <c r="B8" s="764" t="s">
        <v>0</v>
      </c>
      <c r="C8" s="917" t="str">
        <f>IF(ISNUMBER(INDEX('Database.Jan 12 to SEC'!$G$6:$G$191, MATCH($A8&amp;"USD bn", 'Database.Jan 12 to SEC'!$AD$6:$AD$191, 0))), INDEX('Database.Jan 12 to SEC'!$G$6:$G$191, MATCH($A8&amp;"USD bn", 'Database.Jan 12 to SEC'!$AD$6:$AD$191, 0)), "")</f>
        <v/>
      </c>
      <c r="D8" s="918" t="str">
        <f>IF(ISNUMBER(INDEX('Database.Jan 12 to SEC'!$H$6:$H$191, MATCH($A8&amp;"USD bn", 'Database.Jan 12 to SEC'!$AD$6:$AD$191, 0))), INDEX('Database.Jan 12 to SEC'!$H$6:$H$191, MATCH($A8&amp;"USD bn", 'Database.Jan 12 to SEC'!$AD$6:$AD$191, 0)), "")</f>
        <v/>
      </c>
      <c r="E8" s="918" t="str">
        <f>IF(ISNUMBER(INDEX('Database.Jan 12 to SEC'!$J$6:$J$191, MATCH($A8&amp;"USD bn", 'Database.Jan 12 to SEC'!$AD$6:$AD$191, 0))), INDEX('Database.Jan 12 to SEC'!$J$6:$J$191, MATCH($A8&amp;"USD bn", 'Database.Jan 12 to SEC'!$AD$6:$AD$191, 0)), "")</f>
        <v/>
      </c>
      <c r="F8" s="918" t="str">
        <f>IF(ISNUMBER(INDEX('Database.Jan 12 to SEC'!$L$6:$L$191, MATCH($A8&amp;"USD bn", 'Database.Jan 12 to SEC'!$AD$6:$AD$191, 0))), INDEX('Database.Jan 12 to SEC'!$L$6:$L$191, MATCH($A8&amp;"USD bn", 'Database.Jan 12 to SEC'!$AD$6:$AD$191, 0)), "")</f>
        <v/>
      </c>
      <c r="G8" s="918"/>
      <c r="H8" s="919" t="str">
        <f>IF(ISNUMBER(INDEX('Database.Jan 12 to SEC'!$P$6:$P$191, MATCH($A8&amp;"USD bn", 'Database.Jan 12 to SEC'!$AD$6:$AD$191, 0))), INDEX('Database.Jan 12 to SEC'!$P$6:$P$191, MATCH($A8&amp;"USD bn", 'Database.Jan 12 to SEC'!$AD$6:$AD$191, 0)), "")</f>
        <v/>
      </c>
      <c r="I8" s="918" t="str">
        <f>IF(ISNUMBER(INDEX('Database.Jan 12 to SEC'!$Q$6:$Q$191, MATCH($A8&amp;"USD bn", 'Database.Jan 12 to SEC'!$AD$6:$AD$191, 0))), INDEX('Database.Jan 12 to SEC'!$Q$6:$Q$191, MATCH($A8&amp;"USD bn", 'Database.Jan 12 to SEC'!$AD$6:$AD$191, 0)), "")</f>
        <v/>
      </c>
      <c r="J8" s="918"/>
      <c r="K8" s="918" t="str">
        <f>IF(ISNUMBER(INDEX('Database.Jan 12 to SEC'!$U$6:$U$191, MATCH($A8&amp;"USD bn", 'Database.Jan 12 to SEC'!$AD$6:$AD$191, 0))), INDEX('Database.Jan 12 to SEC'!$U$6:$U$191, MATCH($A8&amp;"USD bn", 'Database.Jan 12 to SEC'!$AD$6:$AD$191, 0)), "")</f>
        <v/>
      </c>
      <c r="L8" s="918" t="str">
        <f>IF(ISNUMBER(INDEX('Database.Jan 12 to SEC'!$W$6:$W$191, MATCH($A8&amp;"USD bn", 'Database.Jan 12 to SEC'!$AD$6:$AD$191, 0))), INDEX('Database.Jan 12 to SEC'!$W$6:$W$191, MATCH($A8&amp;"USD bn", 'Database.Jan 12 to SEC'!$AD$6:$AD$191, 0)), "")</f>
        <v/>
      </c>
      <c r="M8" s="885"/>
      <c r="N8" s="885"/>
      <c r="O8" s="882" t="str">
        <f>IF(ISNUMBER(INDEX('Database.Jan 12 to SEC'!$G$6:$G$191, MATCH($A8&amp;"% GDP", 'Database.Jan 12 to SEC'!$AD$6:$AD$191, 0))), INDEX('Database.Jan 12 to SEC'!$G$6:$G$191, MATCH($A8&amp;"% GDP", 'Database.Jan 12 to SEC'!$AD$6:$AD$191, 0)), "")</f>
        <v/>
      </c>
      <c r="P8" s="881" t="str">
        <f>IF(ISNUMBER(INDEX('Database.Jan 12 to SEC'!$H$6:$H$191, MATCH($A8&amp;"% GDP", 'Database.Jan 12 to SEC'!$AD$6:$AD$191, 0))), INDEX('Database.Jan 12 to SEC'!$H$6:$H$191, MATCH($A8&amp;"% GDP", 'Database.Jan 12 to SEC'!$AD$6:$AD$191, 0)), "")</f>
        <v/>
      </c>
      <c r="Q8" s="881" t="str">
        <f>IF(ISNUMBER(INDEX('Database.Jan 12 to SEC'!$J$6:$J$191, MATCH($A8&amp;"% GDP", 'Database.Jan 12 to SEC'!$AD$6:$AD$191, 0))), INDEX('Database.Jan 12 to SEC'!$J$6:$J$191, MATCH($A8&amp;"% GDP", 'Database.Jan 12 to SEC'!$AD$6:$AD$191, 0)), "")</f>
        <v/>
      </c>
      <c r="R8" s="881" t="str">
        <f>IF(ISNUMBER(INDEX('Database.Jan 12 to SEC'!$L$6:$L$191, MATCH($A8&amp;"% GDP", 'Database.Jan 12 to SEC'!$AD$6:$AD$191, 0))), INDEX('Database.Jan 12 to SEC'!$L$6:$L$191, MATCH($A8&amp;"% GDP", 'Database.Jan 12 to SEC'!$AD$6:$AD$191, 0)), "")</f>
        <v/>
      </c>
      <c r="S8" s="883"/>
      <c r="T8" s="882" t="str">
        <f>IF(ISNUMBER(INDEX('Database.Jan 12 to SEC'!$P$6:$P$191, MATCH($A8&amp;"% GDP", 'Database.Jan 12 to SEC'!$AD$6:$AD$191, 0))), INDEX('Database.Jan 12 to SEC'!$P$6:$P$191, MATCH($A8&amp;"% GDP", 'Database.Jan 12 to SEC'!$AD$6:$AD$191, 0)), "")</f>
        <v/>
      </c>
      <c r="U8" s="881" t="str">
        <f>IF(ISNUMBER(INDEX('Database.Jan 12 to SEC'!$Q$6:$Q$191, MATCH($A8&amp;"% GDP", 'Database.Jan 12 to SEC'!$AD$6:$AD$191, 0))), INDEX('Database.Jan 12 to SEC'!$Q$6:$Q$191, MATCH($A8&amp;"% GDP", 'Database.Jan 12 to SEC'!$AD$6:$AD$191, 0)), "")</f>
        <v/>
      </c>
      <c r="V8" s="884"/>
      <c r="W8" s="881" t="str">
        <f>IF(ISNUMBER(INDEX('Database.Jan 12 to SEC'!$U$6:$U$191, MATCH($A8&amp;"% GDP", 'Database.Jan 12 to SEC'!$AD$6:$AD$191, 0))), INDEX('Database.Jan 12 to SEC'!$U$6:$U$191, MATCH($A8&amp;"% GDP", 'Database.Jan 12 to SEC'!$AD$6:$AD$191, 0)), "")</f>
        <v/>
      </c>
      <c r="X8" s="881" t="str">
        <f>IF(ISNUMBER(INDEX('Database.Jan 12 to SEC'!$W$6:$W$191, MATCH($A8&amp;"% GDP", 'Database.Jan 12 to SEC'!$AD$6:$AD$191, 0))), INDEX('Database.Jan 12 to SEC'!$W$6:$W$191, MATCH($A8&amp;"% GDP", 'Database.Jan 12 to SEC'!$AD$6:$AD$191, 0)), "")</f>
        <v/>
      </c>
      <c r="Z8" s="898"/>
      <c r="AC8" s="562"/>
      <c r="AE8" s="764" t="s">
        <v>0</v>
      </c>
      <c r="AF8" s="839">
        <v>249.72579708899613</v>
      </c>
      <c r="AG8" s="833">
        <v>13.808448829914081</v>
      </c>
      <c r="AH8" s="833">
        <v>235.91734825908205</v>
      </c>
      <c r="AI8" s="833" t="s">
        <v>452</v>
      </c>
      <c r="AJ8" s="832"/>
      <c r="AK8" s="839">
        <v>24.164785452349641</v>
      </c>
      <c r="AL8" s="833">
        <v>10.356336622435562</v>
      </c>
      <c r="AM8" s="837"/>
      <c r="AN8" s="833">
        <v>13.808448829914079</v>
      </c>
      <c r="AO8" s="833" t="s">
        <v>452</v>
      </c>
      <c r="AP8" s="834"/>
      <c r="AQ8" s="834"/>
      <c r="AR8" s="839">
        <v>18.370673152863606</v>
      </c>
      <c r="AS8" s="833">
        <v>1.0157961378415044</v>
      </c>
      <c r="AT8" s="833">
        <v>17.354877015022101</v>
      </c>
      <c r="AU8" s="833" t="s">
        <v>452</v>
      </c>
      <c r="AV8" s="832"/>
      <c r="AW8" s="839">
        <v>1.7776432412226326</v>
      </c>
      <c r="AX8" s="833">
        <v>0.76184710338112827</v>
      </c>
      <c r="AY8" s="837"/>
      <c r="AZ8" s="833">
        <v>1.0157961378415044</v>
      </c>
      <c r="BA8" s="833" t="s">
        <v>452</v>
      </c>
    </row>
    <row r="9" spans="1:53">
      <c r="A9" s="764" t="s">
        <v>1</v>
      </c>
      <c r="B9" s="764" t="s">
        <v>1</v>
      </c>
      <c r="C9" s="917" t="str">
        <f>IF(ISNUMBER(INDEX('Database.Jan 12 to SEC'!$G$6:$G$191, MATCH($A9&amp;"USD bn", 'Database.Jan 12 to SEC'!$AD$6:$AD$191, 0))), INDEX('Database.Jan 12 to SEC'!$G$6:$G$191, MATCH($A9&amp;"USD bn", 'Database.Jan 12 to SEC'!$AD$6:$AD$191, 0)), "")</f>
        <v/>
      </c>
      <c r="D9" s="918" t="str">
        <f>IF(ISNUMBER(INDEX('Database.Jan 12 to SEC'!$H$6:$H$191, MATCH($A9&amp;"USD bn", 'Database.Jan 12 to SEC'!$AD$6:$AD$191, 0))), INDEX('Database.Jan 12 to SEC'!$H$6:$H$191, MATCH($A9&amp;"USD bn", 'Database.Jan 12 to SEC'!$AD$6:$AD$191, 0)), "")</f>
        <v/>
      </c>
      <c r="E9" s="918" t="str">
        <f>IF(ISNUMBER(INDEX('Database.Jan 12 to SEC'!$J$6:$J$191, MATCH($A9&amp;"USD bn", 'Database.Jan 12 to SEC'!$AD$6:$AD$191, 0))), INDEX('Database.Jan 12 to SEC'!$J$6:$J$191, MATCH($A9&amp;"USD bn", 'Database.Jan 12 to SEC'!$AD$6:$AD$191, 0)), "")</f>
        <v/>
      </c>
      <c r="F9" s="918" t="str">
        <f>IF(ISNUMBER(INDEX('Database.Jan 12 to SEC'!$L$6:$L$191, MATCH($A9&amp;"USD bn", 'Database.Jan 12 to SEC'!$AD$6:$AD$191, 0))), INDEX('Database.Jan 12 to SEC'!$L$6:$L$191, MATCH($A9&amp;"USD bn", 'Database.Jan 12 to SEC'!$AD$6:$AD$191, 0)), "")</f>
        <v/>
      </c>
      <c r="G9" s="918"/>
      <c r="H9" s="919" t="str">
        <f>IF(ISNUMBER(INDEX('Database.Jan 12 to SEC'!$P$6:$P$191, MATCH($A9&amp;"USD bn", 'Database.Jan 12 to SEC'!$AD$6:$AD$191, 0))), INDEX('Database.Jan 12 to SEC'!$P$6:$P$191, MATCH($A9&amp;"USD bn", 'Database.Jan 12 to SEC'!$AD$6:$AD$191, 0)), "")</f>
        <v/>
      </c>
      <c r="I9" s="918" t="str">
        <f>IF(ISNUMBER(INDEX('Database.Jan 12 to SEC'!$Q$6:$Q$191, MATCH($A9&amp;"USD bn", 'Database.Jan 12 to SEC'!$AD$6:$AD$191, 0))), INDEX('Database.Jan 12 to SEC'!$Q$6:$Q$191, MATCH($A9&amp;"USD bn", 'Database.Jan 12 to SEC'!$AD$6:$AD$191, 0)), "")</f>
        <v/>
      </c>
      <c r="J9" s="918"/>
      <c r="K9" s="918" t="str">
        <f>IF(ISNUMBER(INDEX('Database.Jan 12 to SEC'!$U$6:$U$191, MATCH($A9&amp;"USD bn", 'Database.Jan 12 to SEC'!$AD$6:$AD$191, 0))), INDEX('Database.Jan 12 to SEC'!$U$6:$U$191, MATCH($A9&amp;"USD bn", 'Database.Jan 12 to SEC'!$AD$6:$AD$191, 0)), "")</f>
        <v/>
      </c>
      <c r="L9" s="918" t="str">
        <f>IF(ISNUMBER(INDEX('Database.Jan 12 to SEC'!$W$6:$W$191, MATCH($A9&amp;"USD bn", 'Database.Jan 12 to SEC'!$AD$6:$AD$191, 0))), INDEX('Database.Jan 12 to SEC'!$W$6:$W$191, MATCH($A9&amp;"USD bn", 'Database.Jan 12 to SEC'!$AD$6:$AD$191, 0)), "")</f>
        <v/>
      </c>
      <c r="M9" s="885"/>
      <c r="N9" s="885"/>
      <c r="O9" s="882" t="str">
        <f>IF(ISNUMBER(INDEX('Database.Jan 12 to SEC'!$G$6:$G$191, MATCH($A9&amp;"% GDP", 'Database.Jan 12 to SEC'!$AD$6:$AD$191, 0))), INDEX('Database.Jan 12 to SEC'!$G$6:$G$191, MATCH($A9&amp;"% GDP", 'Database.Jan 12 to SEC'!$AD$6:$AD$191, 0)), "")</f>
        <v/>
      </c>
      <c r="P9" s="881" t="str">
        <f>IF(ISNUMBER(INDEX('Database.Jan 12 to SEC'!$H$6:$H$191, MATCH($A9&amp;"% GDP", 'Database.Jan 12 to SEC'!$AD$6:$AD$191, 0))), INDEX('Database.Jan 12 to SEC'!$H$6:$H$191, MATCH($A9&amp;"% GDP", 'Database.Jan 12 to SEC'!$AD$6:$AD$191, 0)), "")</f>
        <v/>
      </c>
      <c r="Q9" s="881" t="str">
        <f>IF(ISNUMBER(INDEX('Database.Jan 12 to SEC'!$J$6:$J$191, MATCH($A9&amp;"% GDP", 'Database.Jan 12 to SEC'!$AD$6:$AD$191, 0))), INDEX('Database.Jan 12 to SEC'!$J$6:$J$191, MATCH($A9&amp;"% GDP", 'Database.Jan 12 to SEC'!$AD$6:$AD$191, 0)), "")</f>
        <v/>
      </c>
      <c r="R9" s="881" t="str">
        <f>IF(ISNUMBER(INDEX('Database.Jan 12 to SEC'!$L$6:$L$191, MATCH($A9&amp;"% GDP", 'Database.Jan 12 to SEC'!$AD$6:$AD$191, 0))), INDEX('Database.Jan 12 to SEC'!$L$6:$L$191, MATCH($A9&amp;"% GDP", 'Database.Jan 12 to SEC'!$AD$6:$AD$191, 0)), "")</f>
        <v/>
      </c>
      <c r="S9" s="883"/>
      <c r="T9" s="882" t="str">
        <f>IF(ISNUMBER(INDEX('Database.Jan 12 to SEC'!$P$6:$P$191, MATCH($A9&amp;"% GDP", 'Database.Jan 12 to SEC'!$AD$6:$AD$191, 0))), INDEX('Database.Jan 12 to SEC'!$P$6:$P$191, MATCH($A9&amp;"% GDP", 'Database.Jan 12 to SEC'!$AD$6:$AD$191, 0)), "")</f>
        <v/>
      </c>
      <c r="U9" s="881" t="str">
        <f>IF(ISNUMBER(INDEX('Database.Jan 12 to SEC'!$Q$6:$Q$191, MATCH($A9&amp;"% GDP", 'Database.Jan 12 to SEC'!$AD$6:$AD$191, 0))), INDEX('Database.Jan 12 to SEC'!$Q$6:$Q$191, MATCH($A9&amp;"% GDP", 'Database.Jan 12 to SEC'!$AD$6:$AD$191, 0)), "")</f>
        <v/>
      </c>
      <c r="V9" s="884"/>
      <c r="W9" s="881" t="str">
        <f>IF(ISNUMBER(INDEX('Database.Jan 12 to SEC'!$U$6:$U$191, MATCH($A9&amp;"% GDP", 'Database.Jan 12 to SEC'!$AD$6:$AD$191, 0))), INDEX('Database.Jan 12 to SEC'!$U$6:$U$191, MATCH($A9&amp;"% GDP", 'Database.Jan 12 to SEC'!$AD$6:$AD$191, 0)), "")</f>
        <v/>
      </c>
      <c r="X9" s="881" t="str">
        <f>IF(ISNUMBER(INDEX('Database.Jan 12 to SEC'!$W$6:$W$191, MATCH($A9&amp;"% GDP", 'Database.Jan 12 to SEC'!$AD$6:$AD$191, 0))), INDEX('Database.Jan 12 to SEC'!$W$6:$W$191, MATCH($A9&amp;"% GDP", 'Database.Jan 12 to SEC'!$AD$6:$AD$191, 0)), "")</f>
        <v/>
      </c>
      <c r="Z9" s="898"/>
      <c r="AC9" s="562"/>
      <c r="AE9" s="764" t="s">
        <v>1</v>
      </c>
      <c r="AF9" s="839">
        <v>261.78973301959445</v>
      </c>
      <c r="AG9" s="833">
        <v>45.632388666474455</v>
      </c>
      <c r="AH9" s="833">
        <v>216.15734435311998</v>
      </c>
      <c r="AI9" s="833">
        <v>68.027303732528338</v>
      </c>
      <c r="AJ9" s="832"/>
      <c r="AK9" s="839">
        <v>64.944134850488979</v>
      </c>
      <c r="AL9" s="833">
        <v>3.8772617821187447</v>
      </c>
      <c r="AM9" s="837"/>
      <c r="AN9" s="833">
        <v>61.066873068370228</v>
      </c>
      <c r="AO9" s="833" t="s">
        <v>452</v>
      </c>
      <c r="AP9" s="834"/>
      <c r="AQ9" s="834"/>
      <c r="AR9" s="839">
        <v>15.923588544631171</v>
      </c>
      <c r="AS9" s="833">
        <v>2.77562978903853</v>
      </c>
      <c r="AT9" s="833">
        <v>13.14795875559264</v>
      </c>
      <c r="AU9" s="833">
        <v>3.8595767164571715</v>
      </c>
      <c r="AV9" s="832"/>
      <c r="AW9" s="839">
        <v>3.9502835723081042</v>
      </c>
      <c r="AX9" s="833">
        <v>0.23583782521242411</v>
      </c>
      <c r="AY9" s="837"/>
      <c r="AZ9" s="833">
        <v>3.71444574709568</v>
      </c>
      <c r="BA9" s="833" t="s">
        <v>452</v>
      </c>
    </row>
    <row r="10" spans="1:53">
      <c r="A10" s="764" t="s">
        <v>430</v>
      </c>
      <c r="B10" s="764" t="s">
        <v>430</v>
      </c>
      <c r="C10" s="917" t="str">
        <f>IF(ISNUMBER(INDEX('Database.Jan 12 to SEC'!$G$6:$G$191, MATCH($A10&amp;"USD bn", 'Database.Jan 12 to SEC'!$AD$6:$AD$191, 0))), INDEX('Database.Jan 12 to SEC'!$G$6:$G$191, MATCH($A10&amp;"USD bn", 'Database.Jan 12 to SEC'!$AD$6:$AD$191, 0)), "")</f>
        <v/>
      </c>
      <c r="D10" s="918" t="str">
        <f>IF(ISNUMBER(INDEX('Database.Jan 12 to SEC'!$H$6:$H$191, MATCH($A10&amp;"USD bn", 'Database.Jan 12 to SEC'!$AD$6:$AD$191, 0))), INDEX('Database.Jan 12 to SEC'!$H$6:$H$191, MATCH($A10&amp;"USD bn", 'Database.Jan 12 to SEC'!$AD$6:$AD$191, 0)), "")</f>
        <v/>
      </c>
      <c r="E10" s="918" t="str">
        <f>IF(ISNUMBER(INDEX('Database.Jan 12 to SEC'!$J$6:$J$191, MATCH($A10&amp;"USD bn", 'Database.Jan 12 to SEC'!$AD$6:$AD$191, 0))), INDEX('Database.Jan 12 to SEC'!$J$6:$J$191, MATCH($A10&amp;"USD bn", 'Database.Jan 12 to SEC'!$AD$6:$AD$191, 0)), "")</f>
        <v/>
      </c>
      <c r="F10" s="918" t="str">
        <f>IF(ISNUMBER(INDEX('Database.Jan 12 to SEC'!$L$6:$L$191, MATCH($A10&amp;"USD bn", 'Database.Jan 12 to SEC'!$AD$6:$AD$191, 0))), INDEX('Database.Jan 12 to SEC'!$L$6:$L$191, MATCH($A10&amp;"USD bn", 'Database.Jan 12 to SEC'!$AD$6:$AD$191, 0)), "")</f>
        <v/>
      </c>
      <c r="G10" s="918"/>
      <c r="H10" s="919" t="str">
        <f>IF(ISNUMBER(INDEX('Database.Jan 12 to SEC'!$P$6:$P$191, MATCH($A10&amp;"USD bn", 'Database.Jan 12 to SEC'!$AD$6:$AD$191, 0))), INDEX('Database.Jan 12 to SEC'!$P$6:$P$191, MATCH($A10&amp;"USD bn", 'Database.Jan 12 to SEC'!$AD$6:$AD$191, 0)), "")</f>
        <v/>
      </c>
      <c r="I10" s="918" t="str">
        <f>IF(ISNUMBER(INDEX('Database.Jan 12 to SEC'!$Q$6:$Q$191, MATCH($A10&amp;"USD bn", 'Database.Jan 12 to SEC'!$AD$6:$AD$191, 0))), INDEX('Database.Jan 12 to SEC'!$Q$6:$Q$191, MATCH($A10&amp;"USD bn", 'Database.Jan 12 to SEC'!$AD$6:$AD$191, 0)), "")</f>
        <v/>
      </c>
      <c r="J10" s="918"/>
      <c r="K10" s="918" t="str">
        <f>IF(ISNUMBER(INDEX('Database.Jan 12 to SEC'!$U$6:$U$191, MATCH($A10&amp;"USD bn", 'Database.Jan 12 to SEC'!$AD$6:$AD$191, 0))), INDEX('Database.Jan 12 to SEC'!$U$6:$U$191, MATCH($A10&amp;"USD bn", 'Database.Jan 12 to SEC'!$AD$6:$AD$191, 0)), "")</f>
        <v/>
      </c>
      <c r="L10" s="918" t="str">
        <f>IF(ISNUMBER(INDEX('Database.Jan 12 to SEC'!$W$6:$W$191, MATCH($A10&amp;"USD bn", 'Database.Jan 12 to SEC'!$AD$6:$AD$191, 0))), INDEX('Database.Jan 12 to SEC'!$W$6:$W$191, MATCH($A10&amp;"USD bn", 'Database.Jan 12 to SEC'!$AD$6:$AD$191, 0)), "")</f>
        <v/>
      </c>
      <c r="M10" s="885"/>
      <c r="N10" s="885"/>
      <c r="O10" s="882" t="str">
        <f>IF(ISNUMBER(INDEX('Database.Jan 12 to SEC'!$G$6:$G$191, MATCH($A10&amp;"% GDP", 'Database.Jan 12 to SEC'!$AD$6:$AD$191, 0))), INDEX('Database.Jan 12 to SEC'!$G$6:$G$191, MATCH($A10&amp;"% GDP", 'Database.Jan 12 to SEC'!$AD$6:$AD$191, 0)), "")</f>
        <v/>
      </c>
      <c r="P10" s="881" t="str">
        <f>IF(ISNUMBER(INDEX('Database.Jan 12 to SEC'!$H$6:$H$191, MATCH($A10&amp;"% GDP", 'Database.Jan 12 to SEC'!$AD$6:$AD$191, 0))), INDEX('Database.Jan 12 to SEC'!$H$6:$H$191, MATCH($A10&amp;"% GDP", 'Database.Jan 12 to SEC'!$AD$6:$AD$191, 0)), "")</f>
        <v/>
      </c>
      <c r="Q10" s="881" t="str">
        <f>IF(ISNUMBER(INDEX('Database.Jan 12 to SEC'!$J$6:$J$191, MATCH($A10&amp;"% GDP", 'Database.Jan 12 to SEC'!$AD$6:$AD$191, 0))), INDEX('Database.Jan 12 to SEC'!$J$6:$J$191, MATCH($A10&amp;"% GDP", 'Database.Jan 12 to SEC'!$AD$6:$AD$191, 0)), "")</f>
        <v/>
      </c>
      <c r="R10" s="881" t="str">
        <f>IF(ISNUMBER(INDEX('Database.Jan 12 to SEC'!$L$6:$L$191, MATCH($A10&amp;"% GDP", 'Database.Jan 12 to SEC'!$AD$6:$AD$191, 0))), INDEX('Database.Jan 12 to SEC'!$L$6:$L$191, MATCH($A10&amp;"% GDP", 'Database.Jan 12 to SEC'!$AD$6:$AD$191, 0)), "")</f>
        <v/>
      </c>
      <c r="S10" s="883"/>
      <c r="T10" s="882" t="str">
        <f>IF(ISNUMBER(INDEX('Database.Jan 12 to SEC'!$P$6:$P$191, MATCH($A10&amp;"% GDP", 'Database.Jan 12 to SEC'!$AD$6:$AD$191, 0))), INDEX('Database.Jan 12 to SEC'!$P$6:$P$191, MATCH($A10&amp;"% GDP", 'Database.Jan 12 to SEC'!$AD$6:$AD$191, 0)), "")</f>
        <v/>
      </c>
      <c r="U10" s="881" t="str">
        <f>IF(ISNUMBER(INDEX('Database.Jan 12 to SEC'!$Q$6:$Q$191, MATCH($A10&amp;"% GDP", 'Database.Jan 12 to SEC'!$AD$6:$AD$191, 0))), INDEX('Database.Jan 12 to SEC'!$Q$6:$Q$191, MATCH($A10&amp;"% GDP", 'Database.Jan 12 to SEC'!$AD$6:$AD$191, 0)), "")</f>
        <v/>
      </c>
      <c r="V10" s="884"/>
      <c r="W10" s="881" t="str">
        <f>IF(ISNUMBER(INDEX('Database.Jan 12 to SEC'!$U$6:$U$191, MATCH($A10&amp;"% GDP", 'Database.Jan 12 to SEC'!$AD$6:$AD$191, 0))), INDEX('Database.Jan 12 to SEC'!$U$6:$U$191, MATCH($A10&amp;"% GDP", 'Database.Jan 12 to SEC'!$AD$6:$AD$191, 0)), "")</f>
        <v/>
      </c>
      <c r="X10" s="881" t="str">
        <f>IF(ISNUMBER(INDEX('Database.Jan 12 to SEC'!$W$6:$W$191, MATCH($A10&amp;"% GDP", 'Database.Jan 12 to SEC'!$AD$6:$AD$191, 0))), INDEX('Database.Jan 12 to SEC'!$W$6:$W$191, MATCH($A10&amp;"% GDP", 'Database.Jan 12 to SEC'!$AD$6:$AD$191, 0)), "")</f>
        <v/>
      </c>
      <c r="Z10" s="898"/>
      <c r="AC10" s="562"/>
      <c r="AE10" s="764" t="s">
        <v>430</v>
      </c>
      <c r="AF10" s="839" t="s">
        <v>452</v>
      </c>
      <c r="AG10" s="833" t="s">
        <v>452</v>
      </c>
      <c r="AH10" s="833" t="s">
        <v>452</v>
      </c>
      <c r="AI10" s="833" t="s">
        <v>452</v>
      </c>
      <c r="AJ10" s="832"/>
      <c r="AK10" s="839"/>
      <c r="AL10" s="833"/>
      <c r="AM10" s="837"/>
      <c r="AN10" s="833"/>
      <c r="AO10" s="833"/>
      <c r="AP10" s="834"/>
      <c r="AQ10" s="834"/>
      <c r="AR10" s="839"/>
      <c r="AS10" s="833"/>
      <c r="AT10" s="833"/>
      <c r="AU10" s="833"/>
      <c r="AV10" s="832"/>
      <c r="AW10" s="839"/>
      <c r="AX10" s="833" t="s">
        <v>452</v>
      </c>
      <c r="AY10" s="837"/>
      <c r="AZ10" s="833" t="s">
        <v>452</v>
      </c>
      <c r="BA10" s="833" t="s">
        <v>452</v>
      </c>
    </row>
    <row r="11" spans="1:53">
      <c r="A11" s="764" t="s">
        <v>2</v>
      </c>
      <c r="B11" s="764" t="s">
        <v>2</v>
      </c>
      <c r="C11" s="917" t="str">
        <f>IF(ISNUMBER(INDEX('Database.Jan 12 to SEC'!$G$6:$G$191, MATCH($A11&amp;"USD bn", 'Database.Jan 12 to SEC'!$AD$6:$AD$191, 0))), INDEX('Database.Jan 12 to SEC'!$G$6:$G$191, MATCH($A11&amp;"USD bn", 'Database.Jan 12 to SEC'!$AD$6:$AD$191, 0)), "")</f>
        <v/>
      </c>
      <c r="D11" s="918" t="str">
        <f>IF(ISNUMBER(INDEX('Database.Jan 12 to SEC'!$H$6:$H$191, MATCH($A11&amp;"USD bn", 'Database.Jan 12 to SEC'!$AD$6:$AD$191, 0))), INDEX('Database.Jan 12 to SEC'!$H$6:$H$191, MATCH($A11&amp;"USD bn", 'Database.Jan 12 to SEC'!$AD$6:$AD$191, 0)), "")</f>
        <v/>
      </c>
      <c r="E11" s="918" t="str">
        <f>IF(ISNUMBER(INDEX('Database.Jan 12 to SEC'!$J$6:$J$191, MATCH($A11&amp;"USD bn", 'Database.Jan 12 to SEC'!$AD$6:$AD$191, 0))), INDEX('Database.Jan 12 to SEC'!$J$6:$J$191, MATCH($A11&amp;"USD bn", 'Database.Jan 12 to SEC'!$AD$6:$AD$191, 0)), "")</f>
        <v/>
      </c>
      <c r="F11" s="918" t="str">
        <f>IF(ISNUMBER(INDEX('Database.Jan 12 to SEC'!$L$6:$L$191, MATCH($A11&amp;"USD bn", 'Database.Jan 12 to SEC'!$AD$6:$AD$191, 0))), INDEX('Database.Jan 12 to SEC'!$L$6:$L$191, MATCH($A11&amp;"USD bn", 'Database.Jan 12 to SEC'!$AD$6:$AD$191, 0)), "")</f>
        <v/>
      </c>
      <c r="G11" s="918"/>
      <c r="H11" s="919" t="str">
        <f>IF(ISNUMBER(INDEX('Database.Jan 12 to SEC'!$P$6:$P$191, MATCH($A11&amp;"USD bn", 'Database.Jan 12 to SEC'!$AD$6:$AD$191, 0))), INDEX('Database.Jan 12 to SEC'!$P$6:$P$191, MATCH($A11&amp;"USD bn", 'Database.Jan 12 to SEC'!$AD$6:$AD$191, 0)), "")</f>
        <v/>
      </c>
      <c r="I11" s="918" t="str">
        <f>IF(ISNUMBER(INDEX('Database.Jan 12 to SEC'!$Q$6:$Q$191, MATCH($A11&amp;"USD bn", 'Database.Jan 12 to SEC'!$AD$6:$AD$191, 0))), INDEX('Database.Jan 12 to SEC'!$Q$6:$Q$191, MATCH($A11&amp;"USD bn", 'Database.Jan 12 to SEC'!$AD$6:$AD$191, 0)), "")</f>
        <v/>
      </c>
      <c r="J11" s="918"/>
      <c r="K11" s="918" t="str">
        <f>IF(ISNUMBER(INDEX('Database.Jan 12 to SEC'!$U$6:$U$191, MATCH($A11&amp;"USD bn", 'Database.Jan 12 to SEC'!$AD$6:$AD$191, 0))), INDEX('Database.Jan 12 to SEC'!$U$6:$U$191, MATCH($A11&amp;"USD bn", 'Database.Jan 12 to SEC'!$AD$6:$AD$191, 0)), "")</f>
        <v/>
      </c>
      <c r="L11" s="918" t="str">
        <f>IF(ISNUMBER(INDEX('Database.Jan 12 to SEC'!$W$6:$W$191, MATCH($A11&amp;"USD bn", 'Database.Jan 12 to SEC'!$AD$6:$AD$191, 0))), INDEX('Database.Jan 12 to SEC'!$W$6:$W$191, MATCH($A11&amp;"USD bn", 'Database.Jan 12 to SEC'!$AD$6:$AD$191, 0)), "")</f>
        <v/>
      </c>
      <c r="M11" s="885"/>
      <c r="N11" s="885"/>
      <c r="O11" s="882" t="str">
        <f>IF(ISNUMBER(INDEX('Database.Jan 12 to SEC'!$G$6:$G$191, MATCH($A11&amp;"% GDP", 'Database.Jan 12 to SEC'!$AD$6:$AD$191, 0))), INDEX('Database.Jan 12 to SEC'!$G$6:$G$191, MATCH($A11&amp;"% GDP", 'Database.Jan 12 to SEC'!$AD$6:$AD$191, 0)), "")</f>
        <v/>
      </c>
      <c r="P11" s="881" t="str">
        <f>IF(ISNUMBER(INDEX('Database.Jan 12 to SEC'!$H$6:$H$191, MATCH($A11&amp;"% GDP", 'Database.Jan 12 to SEC'!$AD$6:$AD$191, 0))), INDEX('Database.Jan 12 to SEC'!$H$6:$H$191, MATCH($A11&amp;"% GDP", 'Database.Jan 12 to SEC'!$AD$6:$AD$191, 0)), "")</f>
        <v/>
      </c>
      <c r="Q11" s="881" t="str">
        <f>IF(ISNUMBER(INDEX('Database.Jan 12 to SEC'!$J$6:$J$191, MATCH($A11&amp;"% GDP", 'Database.Jan 12 to SEC'!$AD$6:$AD$191, 0))), INDEX('Database.Jan 12 to SEC'!$J$6:$J$191, MATCH($A11&amp;"% GDP", 'Database.Jan 12 to SEC'!$AD$6:$AD$191, 0)), "")</f>
        <v/>
      </c>
      <c r="R11" s="881" t="str">
        <f>IF(ISNUMBER(INDEX('Database.Jan 12 to SEC'!$L$6:$L$191, MATCH($A11&amp;"% GDP", 'Database.Jan 12 to SEC'!$AD$6:$AD$191, 0))), INDEX('Database.Jan 12 to SEC'!$L$6:$L$191, MATCH($A11&amp;"% GDP", 'Database.Jan 12 to SEC'!$AD$6:$AD$191, 0)), "")</f>
        <v/>
      </c>
      <c r="S11" s="883"/>
      <c r="T11" s="882" t="str">
        <f>IF(ISNUMBER(INDEX('Database.Jan 12 to SEC'!$P$6:$P$191, MATCH($A11&amp;"% GDP", 'Database.Jan 12 to SEC'!$AD$6:$AD$191, 0))), INDEX('Database.Jan 12 to SEC'!$P$6:$P$191, MATCH($A11&amp;"% GDP", 'Database.Jan 12 to SEC'!$AD$6:$AD$191, 0)), "")</f>
        <v/>
      </c>
      <c r="U11" s="881" t="str">
        <f>IF(ISNUMBER(INDEX('Database.Jan 12 to SEC'!$Q$6:$Q$191, MATCH($A11&amp;"% GDP", 'Database.Jan 12 to SEC'!$AD$6:$AD$191, 0))), INDEX('Database.Jan 12 to SEC'!$Q$6:$Q$191, MATCH($A11&amp;"% GDP", 'Database.Jan 12 to SEC'!$AD$6:$AD$191, 0)), "")</f>
        <v/>
      </c>
      <c r="V11" s="884"/>
      <c r="W11" s="881" t="str">
        <f>IF(ISNUMBER(INDEX('Database.Jan 12 to SEC'!$U$6:$U$191, MATCH($A11&amp;"% GDP", 'Database.Jan 12 to SEC'!$AD$6:$AD$191, 0))), INDEX('Database.Jan 12 to SEC'!$U$6:$U$191, MATCH($A11&amp;"% GDP", 'Database.Jan 12 to SEC'!$AD$6:$AD$191, 0)), "")</f>
        <v/>
      </c>
      <c r="X11" s="881" t="str">
        <f>IF(ISNUMBER(INDEX('Database.Jan 12 to SEC'!$W$6:$W$191, MATCH($A11&amp;"% GDP", 'Database.Jan 12 to SEC'!$AD$6:$AD$191, 0))), INDEX('Database.Jan 12 to SEC'!$W$6:$W$191, MATCH($A11&amp;"% GDP", 'Database.Jan 12 to SEC'!$AD$6:$AD$191, 0)), "")</f>
        <v/>
      </c>
      <c r="Z11" s="898"/>
      <c r="AC11" s="562"/>
      <c r="AE11" s="764" t="s">
        <v>2</v>
      </c>
      <c r="AF11" s="839">
        <v>252.88463784604201</v>
      </c>
      <c r="AG11" s="833">
        <v>38.633570180174964</v>
      </c>
      <c r="AH11" s="833">
        <v>214.25106766586705</v>
      </c>
      <c r="AI11" s="833">
        <v>79.204517036051911</v>
      </c>
      <c r="AJ11" s="832"/>
      <c r="AK11" s="839">
        <v>399.21355852847461</v>
      </c>
      <c r="AL11" s="833">
        <v>18.006206750642018</v>
      </c>
      <c r="AM11" s="837"/>
      <c r="AN11" s="833">
        <v>381.20735177783257</v>
      </c>
      <c r="AO11" s="833" t="s">
        <v>452</v>
      </c>
      <c r="AP11" s="834"/>
      <c r="AQ11" s="834"/>
      <c r="AR11" s="839">
        <v>9.6358441242628725</v>
      </c>
      <c r="AS11" s="833">
        <v>1.4720825408405198</v>
      </c>
      <c r="AT11" s="833">
        <v>8.1637615834223531</v>
      </c>
      <c r="AU11" s="833">
        <v>3.017986330041774</v>
      </c>
      <c r="AV11" s="832"/>
      <c r="AW11" s="839">
        <v>15.211519588685375</v>
      </c>
      <c r="AX11" s="833">
        <v>0.68610336711741049</v>
      </c>
      <c r="AY11" s="837"/>
      <c r="AZ11" s="833">
        <v>14.525416221567964</v>
      </c>
      <c r="BA11" s="833" t="s">
        <v>452</v>
      </c>
    </row>
    <row r="12" spans="1:53">
      <c r="A12" s="764" t="s">
        <v>3</v>
      </c>
      <c r="B12" s="764" t="s">
        <v>3</v>
      </c>
      <c r="C12" s="917" t="str">
        <f>IF(ISNUMBER(INDEX('Database.Jan 12 to SEC'!$G$6:$G$191, MATCH($A12&amp;"USD bn", 'Database.Jan 12 to SEC'!$AD$6:$AD$191, 0))), INDEX('Database.Jan 12 to SEC'!$G$6:$G$191, MATCH($A12&amp;"USD bn", 'Database.Jan 12 to SEC'!$AD$6:$AD$191, 0)), "")</f>
        <v/>
      </c>
      <c r="D12" s="918" t="str">
        <f>IF(ISNUMBER(INDEX('Database.Jan 12 to SEC'!$H$6:$H$191, MATCH($A12&amp;"USD bn", 'Database.Jan 12 to SEC'!$AD$6:$AD$191, 0))), INDEX('Database.Jan 12 to SEC'!$H$6:$H$191, MATCH($A12&amp;"USD bn", 'Database.Jan 12 to SEC'!$AD$6:$AD$191, 0)), "")</f>
        <v/>
      </c>
      <c r="E12" s="918" t="str">
        <f>IF(ISNUMBER(INDEX('Database.Jan 12 to SEC'!$J$6:$J$191, MATCH($A12&amp;"USD bn", 'Database.Jan 12 to SEC'!$AD$6:$AD$191, 0))), INDEX('Database.Jan 12 to SEC'!$J$6:$J$191, MATCH($A12&amp;"USD bn", 'Database.Jan 12 to SEC'!$AD$6:$AD$191, 0)), "")</f>
        <v/>
      </c>
      <c r="F12" s="918" t="str">
        <f>IF(ISNUMBER(INDEX('Database.Jan 12 to SEC'!$L$6:$L$191, MATCH($A12&amp;"USD bn", 'Database.Jan 12 to SEC'!$AD$6:$AD$191, 0))), INDEX('Database.Jan 12 to SEC'!$L$6:$L$191, MATCH($A12&amp;"USD bn", 'Database.Jan 12 to SEC'!$AD$6:$AD$191, 0)), "")</f>
        <v/>
      </c>
      <c r="G12" s="918"/>
      <c r="H12" s="919" t="str">
        <f>IF(ISNUMBER(INDEX('Database.Jan 12 to SEC'!$P$6:$P$191, MATCH($A12&amp;"USD bn", 'Database.Jan 12 to SEC'!$AD$6:$AD$191, 0))), INDEX('Database.Jan 12 to SEC'!$P$6:$P$191, MATCH($A12&amp;"USD bn", 'Database.Jan 12 to SEC'!$AD$6:$AD$191, 0)), "")</f>
        <v/>
      </c>
      <c r="I12" s="918" t="str">
        <f>IF(ISNUMBER(INDEX('Database.Jan 12 to SEC'!$Q$6:$Q$191, MATCH($A12&amp;"USD bn", 'Database.Jan 12 to SEC'!$AD$6:$AD$191, 0))), INDEX('Database.Jan 12 to SEC'!$Q$6:$Q$191, MATCH($A12&amp;"USD bn", 'Database.Jan 12 to SEC'!$AD$6:$AD$191, 0)), "")</f>
        <v/>
      </c>
      <c r="J12" s="918"/>
      <c r="K12" s="918" t="str">
        <f>IF(ISNUMBER(INDEX('Database.Jan 12 to SEC'!$U$6:$U$191, MATCH($A12&amp;"USD bn", 'Database.Jan 12 to SEC'!$AD$6:$AD$191, 0))), INDEX('Database.Jan 12 to SEC'!$U$6:$U$191, MATCH($A12&amp;"USD bn", 'Database.Jan 12 to SEC'!$AD$6:$AD$191, 0)), "")</f>
        <v/>
      </c>
      <c r="L12" s="918" t="str">
        <f>IF(ISNUMBER(INDEX('Database.Jan 12 to SEC'!$W$6:$W$191, MATCH($A12&amp;"USD bn", 'Database.Jan 12 to SEC'!$AD$6:$AD$191, 0))), INDEX('Database.Jan 12 to SEC'!$W$6:$W$191, MATCH($A12&amp;"USD bn", 'Database.Jan 12 to SEC'!$AD$6:$AD$191, 0)), "")</f>
        <v/>
      </c>
      <c r="M12" s="885"/>
      <c r="N12" s="885"/>
      <c r="O12" s="882" t="str">
        <f>IF(ISNUMBER(INDEX('Database.Jan 12 to SEC'!$G$6:$G$191, MATCH($A12&amp;"% GDP", 'Database.Jan 12 to SEC'!$AD$6:$AD$191, 0))), INDEX('Database.Jan 12 to SEC'!$G$6:$G$191, MATCH($A12&amp;"% GDP", 'Database.Jan 12 to SEC'!$AD$6:$AD$191, 0)), "")</f>
        <v/>
      </c>
      <c r="P12" s="881" t="str">
        <f>IF(ISNUMBER(INDEX('Database.Jan 12 to SEC'!$H$6:$H$191, MATCH($A12&amp;"% GDP", 'Database.Jan 12 to SEC'!$AD$6:$AD$191, 0))), INDEX('Database.Jan 12 to SEC'!$H$6:$H$191, MATCH($A12&amp;"% GDP", 'Database.Jan 12 to SEC'!$AD$6:$AD$191, 0)), "")</f>
        <v/>
      </c>
      <c r="Q12" s="881" t="str">
        <f>IF(ISNUMBER(INDEX('Database.Jan 12 to SEC'!$J$6:$J$191, MATCH($A12&amp;"% GDP", 'Database.Jan 12 to SEC'!$AD$6:$AD$191, 0))), INDEX('Database.Jan 12 to SEC'!$J$6:$J$191, MATCH($A12&amp;"% GDP", 'Database.Jan 12 to SEC'!$AD$6:$AD$191, 0)), "")</f>
        <v/>
      </c>
      <c r="R12" s="881" t="str">
        <f>IF(ISNUMBER(INDEX('Database.Jan 12 to SEC'!$L$6:$L$191, MATCH($A12&amp;"% GDP", 'Database.Jan 12 to SEC'!$AD$6:$AD$191, 0))), INDEX('Database.Jan 12 to SEC'!$L$6:$L$191, MATCH($A12&amp;"% GDP", 'Database.Jan 12 to SEC'!$AD$6:$AD$191, 0)), "")</f>
        <v/>
      </c>
      <c r="S12" s="883"/>
      <c r="T12" s="882" t="str">
        <f>IF(ISNUMBER(INDEX('Database.Jan 12 to SEC'!$P$6:$P$191, MATCH($A12&amp;"% GDP", 'Database.Jan 12 to SEC'!$AD$6:$AD$191, 0))), INDEX('Database.Jan 12 to SEC'!$P$6:$P$191, MATCH($A12&amp;"% GDP", 'Database.Jan 12 to SEC'!$AD$6:$AD$191, 0)), "")</f>
        <v/>
      </c>
      <c r="U12" s="881" t="str">
        <f>IF(ISNUMBER(INDEX('Database.Jan 12 to SEC'!$Q$6:$Q$191, MATCH($A12&amp;"% GDP", 'Database.Jan 12 to SEC'!$AD$6:$AD$191, 0))), INDEX('Database.Jan 12 to SEC'!$Q$6:$Q$191, MATCH($A12&amp;"% GDP", 'Database.Jan 12 to SEC'!$AD$6:$AD$191, 0)), "")</f>
        <v/>
      </c>
      <c r="V12" s="884"/>
      <c r="W12" s="881" t="str">
        <f>IF(ISNUMBER(INDEX('Database.Jan 12 to SEC'!$U$6:$U$191, MATCH($A12&amp;"% GDP", 'Database.Jan 12 to SEC'!$AD$6:$AD$191, 0))), INDEX('Database.Jan 12 to SEC'!$U$6:$U$191, MATCH($A12&amp;"% GDP", 'Database.Jan 12 to SEC'!$AD$6:$AD$191, 0)), "")</f>
        <v/>
      </c>
      <c r="X12" s="881" t="str">
        <f>IF(ISNUMBER(INDEX('Database.Jan 12 to SEC'!$W$6:$W$191, MATCH($A12&amp;"% GDP", 'Database.Jan 12 to SEC'!$AD$6:$AD$191, 0))), INDEX('Database.Jan 12 to SEC'!$W$6:$W$191, MATCH($A12&amp;"% GDP", 'Database.Jan 12 to SEC'!$AD$6:$AD$191, 0)), "")</f>
        <v/>
      </c>
      <c r="Z12" s="898"/>
      <c r="AC12" s="562"/>
      <c r="AE12" s="764" t="s">
        <v>3</v>
      </c>
      <c r="AF12" s="839">
        <v>588.90143942687689</v>
      </c>
      <c r="AG12" s="833">
        <v>69.618193420619164</v>
      </c>
      <c r="AH12" s="833">
        <v>519.28324600625774</v>
      </c>
      <c r="AI12" s="833" t="s">
        <v>452</v>
      </c>
      <c r="AJ12" s="832"/>
      <c r="AK12" s="839">
        <v>1057.9682836215404</v>
      </c>
      <c r="AL12" s="833">
        <v>114.12818593544125</v>
      </c>
      <c r="AM12" s="837"/>
      <c r="AN12" s="833">
        <v>943.84009768609917</v>
      </c>
      <c r="AO12" s="833" t="s">
        <v>452</v>
      </c>
      <c r="AP12" s="834"/>
      <c r="AQ12" s="834"/>
      <c r="AR12" s="839">
        <v>15.322666856715248</v>
      </c>
      <c r="AS12" s="833">
        <v>1.8114005392628492</v>
      </c>
      <c r="AT12" s="833">
        <v>13.511266317452399</v>
      </c>
      <c r="AU12" s="833" t="s">
        <v>452</v>
      </c>
      <c r="AV12" s="832"/>
      <c r="AW12" s="839">
        <v>27.786270524971673</v>
      </c>
      <c r="AX12" s="833">
        <v>2.9974401860810866</v>
      </c>
      <c r="AY12" s="837"/>
      <c r="AZ12" s="833">
        <v>24.788830338890588</v>
      </c>
      <c r="BA12" s="833" t="s">
        <v>452</v>
      </c>
    </row>
    <row r="13" spans="1:53">
      <c r="A13" s="764" t="s">
        <v>4</v>
      </c>
      <c r="B13" s="764" t="s">
        <v>4</v>
      </c>
      <c r="C13" s="917" t="str">
        <f>IF(ISNUMBER(INDEX('Database.Jan 12 to SEC'!$G$6:$G$191, MATCH($A13&amp;"USD bn", 'Database.Jan 12 to SEC'!$AD$6:$AD$191, 0))), INDEX('Database.Jan 12 to SEC'!$G$6:$G$191, MATCH($A13&amp;"USD bn", 'Database.Jan 12 to SEC'!$AD$6:$AD$191, 0)), "")</f>
        <v/>
      </c>
      <c r="D13" s="918" t="str">
        <f>IF(ISNUMBER(INDEX('Database.Jan 12 to SEC'!$H$6:$H$191, MATCH($A13&amp;"USD bn", 'Database.Jan 12 to SEC'!$AD$6:$AD$191, 0))), INDEX('Database.Jan 12 to SEC'!$H$6:$H$191, MATCH($A13&amp;"USD bn", 'Database.Jan 12 to SEC'!$AD$6:$AD$191, 0)), "")</f>
        <v/>
      </c>
      <c r="E13" s="918" t="str">
        <f>IF(ISNUMBER(INDEX('Database.Jan 12 to SEC'!$J$6:$J$191, MATCH($A13&amp;"USD bn", 'Database.Jan 12 to SEC'!$AD$6:$AD$191, 0))), INDEX('Database.Jan 12 to SEC'!$J$6:$J$191, MATCH($A13&amp;"USD bn", 'Database.Jan 12 to SEC'!$AD$6:$AD$191, 0)), "")</f>
        <v/>
      </c>
      <c r="F13" s="918" t="str">
        <f>IF(ISNUMBER(INDEX('Database.Jan 12 to SEC'!$L$6:$L$191, MATCH($A13&amp;"USD bn", 'Database.Jan 12 to SEC'!$AD$6:$AD$191, 0))), INDEX('Database.Jan 12 to SEC'!$L$6:$L$191, MATCH($A13&amp;"USD bn", 'Database.Jan 12 to SEC'!$AD$6:$AD$191, 0)), "")</f>
        <v/>
      </c>
      <c r="G13" s="918"/>
      <c r="H13" s="919" t="str">
        <f>IF(ISNUMBER(INDEX('Database.Jan 12 to SEC'!$P$6:$P$191, MATCH($A13&amp;"USD bn", 'Database.Jan 12 to SEC'!$AD$6:$AD$191, 0))), INDEX('Database.Jan 12 to SEC'!$P$6:$P$191, MATCH($A13&amp;"USD bn", 'Database.Jan 12 to SEC'!$AD$6:$AD$191, 0)), "")</f>
        <v/>
      </c>
      <c r="I13" s="918" t="str">
        <f>IF(ISNUMBER(INDEX('Database.Jan 12 to SEC'!$Q$6:$Q$191, MATCH($A13&amp;"USD bn", 'Database.Jan 12 to SEC'!$AD$6:$AD$191, 0))), INDEX('Database.Jan 12 to SEC'!$Q$6:$Q$191, MATCH($A13&amp;"USD bn", 'Database.Jan 12 to SEC'!$AD$6:$AD$191, 0)), "")</f>
        <v/>
      </c>
      <c r="J13" s="918"/>
      <c r="K13" s="918" t="str">
        <f>IF(ISNUMBER(INDEX('Database.Jan 12 to SEC'!$U$6:$U$191, MATCH($A13&amp;"USD bn", 'Database.Jan 12 to SEC'!$AD$6:$AD$191, 0))), INDEX('Database.Jan 12 to SEC'!$U$6:$U$191, MATCH($A13&amp;"USD bn", 'Database.Jan 12 to SEC'!$AD$6:$AD$191, 0)), "")</f>
        <v/>
      </c>
      <c r="L13" s="918" t="str">
        <f>IF(ISNUMBER(INDEX('Database.Jan 12 to SEC'!$W$6:$W$191, MATCH($A13&amp;"USD bn", 'Database.Jan 12 to SEC'!$AD$6:$AD$191, 0))), INDEX('Database.Jan 12 to SEC'!$W$6:$W$191, MATCH($A13&amp;"USD bn", 'Database.Jan 12 to SEC'!$AD$6:$AD$191, 0)), "")</f>
        <v/>
      </c>
      <c r="M13" s="885"/>
      <c r="N13" s="885"/>
      <c r="O13" s="882" t="str">
        <f>IF(ISNUMBER(INDEX('Database.Jan 12 to SEC'!$G$6:$G$191, MATCH($A13&amp;"% GDP", 'Database.Jan 12 to SEC'!$AD$6:$AD$191, 0))), INDEX('Database.Jan 12 to SEC'!$G$6:$G$191, MATCH($A13&amp;"% GDP", 'Database.Jan 12 to SEC'!$AD$6:$AD$191, 0)), "")</f>
        <v/>
      </c>
      <c r="P13" s="881" t="str">
        <f>IF(ISNUMBER(INDEX('Database.Jan 12 to SEC'!$H$6:$H$191, MATCH($A13&amp;"% GDP", 'Database.Jan 12 to SEC'!$AD$6:$AD$191, 0))), INDEX('Database.Jan 12 to SEC'!$H$6:$H$191, MATCH($A13&amp;"% GDP", 'Database.Jan 12 to SEC'!$AD$6:$AD$191, 0)), "")</f>
        <v/>
      </c>
      <c r="Q13" s="881" t="str">
        <f>IF(ISNUMBER(INDEX('Database.Jan 12 to SEC'!$J$6:$J$191, MATCH($A13&amp;"% GDP", 'Database.Jan 12 to SEC'!$AD$6:$AD$191, 0))), INDEX('Database.Jan 12 to SEC'!$J$6:$J$191, MATCH($A13&amp;"% GDP", 'Database.Jan 12 to SEC'!$AD$6:$AD$191, 0)), "")</f>
        <v/>
      </c>
      <c r="R13" s="881" t="str">
        <f>IF(ISNUMBER(INDEX('Database.Jan 12 to SEC'!$L$6:$L$191, MATCH($A13&amp;"% GDP", 'Database.Jan 12 to SEC'!$AD$6:$AD$191, 0))), INDEX('Database.Jan 12 to SEC'!$L$6:$L$191, MATCH($A13&amp;"% GDP", 'Database.Jan 12 to SEC'!$AD$6:$AD$191, 0)), "")</f>
        <v/>
      </c>
      <c r="S13" s="883"/>
      <c r="T13" s="882" t="str">
        <f>IF(ISNUMBER(INDEX('Database.Jan 12 to SEC'!$P$6:$P$191, MATCH($A13&amp;"% GDP", 'Database.Jan 12 to SEC'!$AD$6:$AD$191, 0))), INDEX('Database.Jan 12 to SEC'!$P$6:$P$191, MATCH($A13&amp;"% GDP", 'Database.Jan 12 to SEC'!$AD$6:$AD$191, 0)), "")</f>
        <v/>
      </c>
      <c r="U13" s="881" t="str">
        <f>IF(ISNUMBER(INDEX('Database.Jan 12 to SEC'!$Q$6:$Q$191, MATCH($A13&amp;"% GDP", 'Database.Jan 12 to SEC'!$AD$6:$AD$191, 0))), INDEX('Database.Jan 12 to SEC'!$Q$6:$Q$191, MATCH($A13&amp;"% GDP", 'Database.Jan 12 to SEC'!$AD$6:$AD$191, 0)), "")</f>
        <v/>
      </c>
      <c r="V13" s="884"/>
      <c r="W13" s="881" t="str">
        <f>IF(ISNUMBER(INDEX('Database.Jan 12 to SEC'!$U$6:$U$191, MATCH($A13&amp;"% GDP", 'Database.Jan 12 to SEC'!$AD$6:$AD$191, 0))), INDEX('Database.Jan 12 to SEC'!$U$6:$U$191, MATCH($A13&amp;"% GDP", 'Database.Jan 12 to SEC'!$AD$6:$AD$191, 0)), "")</f>
        <v/>
      </c>
      <c r="X13" s="881" t="str">
        <f>IF(ISNUMBER(INDEX('Database.Jan 12 to SEC'!$W$6:$W$191, MATCH($A13&amp;"% GDP", 'Database.Jan 12 to SEC'!$AD$6:$AD$191, 0))), INDEX('Database.Jan 12 to SEC'!$W$6:$W$191, MATCH($A13&amp;"% GDP", 'Database.Jan 12 to SEC'!$AD$6:$AD$191, 0)), "")</f>
        <v/>
      </c>
      <c r="Z13" s="898"/>
      <c r="AC13" s="562"/>
      <c r="AE13" s="764" t="s">
        <v>4</v>
      </c>
      <c r="AF13" s="839">
        <v>205.43073468379424</v>
      </c>
      <c r="AG13" s="833">
        <v>22.825637187088251</v>
      </c>
      <c r="AH13" s="833">
        <v>182.60509749670598</v>
      </c>
      <c r="AI13" s="833">
        <v>7.9889730154808873</v>
      </c>
      <c r="AJ13" s="832"/>
      <c r="AK13" s="839">
        <v>664.51136260910675</v>
      </c>
      <c r="AL13" s="833">
        <v>3.7091660429018405</v>
      </c>
      <c r="AM13" s="837"/>
      <c r="AN13" s="833">
        <v>660.80219656620488</v>
      </c>
      <c r="AO13" s="833" t="s">
        <v>452</v>
      </c>
      <c r="AP13" s="834"/>
      <c r="AQ13" s="834"/>
      <c r="AR13" s="839">
        <v>10.898555638640223</v>
      </c>
      <c r="AS13" s="833">
        <v>1.2109506265155805</v>
      </c>
      <c r="AT13" s="833">
        <v>9.6876050121246422</v>
      </c>
      <c r="AU13" s="833">
        <v>0.42383271928045313</v>
      </c>
      <c r="AV13" s="832"/>
      <c r="AW13" s="839">
        <v>35.253800114434831</v>
      </c>
      <c r="AX13" s="833">
        <v>0.19677947680878183</v>
      </c>
      <c r="AY13" s="837"/>
      <c r="AZ13" s="833">
        <v>35.057020637626053</v>
      </c>
      <c r="BA13" s="833" t="s">
        <v>452</v>
      </c>
    </row>
    <row r="14" spans="1:53">
      <c r="A14" s="764" t="s">
        <v>5</v>
      </c>
      <c r="B14" s="764" t="s">
        <v>5</v>
      </c>
      <c r="C14" s="917" t="str">
        <f>IF(ISNUMBER(INDEX('Database.Jan 12 to SEC'!$G$6:$G$191, MATCH($A14&amp;"USD bn", 'Database.Jan 12 to SEC'!$AD$6:$AD$191, 0))), INDEX('Database.Jan 12 to SEC'!$G$6:$G$191, MATCH($A14&amp;"USD bn", 'Database.Jan 12 to SEC'!$AD$6:$AD$191, 0)), "")</f>
        <v/>
      </c>
      <c r="D14" s="918" t="str">
        <f>IF(ISNUMBER(INDEX('Database.Jan 12 to SEC'!$H$6:$H$191, MATCH($A14&amp;"USD bn", 'Database.Jan 12 to SEC'!$AD$6:$AD$191, 0))), INDEX('Database.Jan 12 to SEC'!$H$6:$H$191, MATCH($A14&amp;"USD bn", 'Database.Jan 12 to SEC'!$AD$6:$AD$191, 0)), "")</f>
        <v/>
      </c>
      <c r="E14" s="918" t="str">
        <f>IF(ISNUMBER(INDEX('Database.Jan 12 to SEC'!$J$6:$J$191, MATCH($A14&amp;"USD bn", 'Database.Jan 12 to SEC'!$AD$6:$AD$191, 0))), INDEX('Database.Jan 12 to SEC'!$J$6:$J$191, MATCH($A14&amp;"USD bn", 'Database.Jan 12 to SEC'!$AD$6:$AD$191, 0)), "")</f>
        <v/>
      </c>
      <c r="F14" s="918" t="str">
        <f>IF(ISNUMBER(INDEX('Database.Jan 12 to SEC'!$L$6:$L$191, MATCH($A14&amp;"USD bn", 'Database.Jan 12 to SEC'!$AD$6:$AD$191, 0))), INDEX('Database.Jan 12 to SEC'!$L$6:$L$191, MATCH($A14&amp;"USD bn", 'Database.Jan 12 to SEC'!$AD$6:$AD$191, 0)), "")</f>
        <v/>
      </c>
      <c r="G14" s="918"/>
      <c r="H14" s="919" t="str">
        <f>IF(ISNUMBER(INDEX('Database.Jan 12 to SEC'!$P$6:$P$191, MATCH($A14&amp;"USD bn", 'Database.Jan 12 to SEC'!$AD$6:$AD$191, 0))), INDEX('Database.Jan 12 to SEC'!$P$6:$P$191, MATCH($A14&amp;"USD bn", 'Database.Jan 12 to SEC'!$AD$6:$AD$191, 0)), "")</f>
        <v/>
      </c>
      <c r="I14" s="918" t="str">
        <f>IF(ISNUMBER(INDEX('Database.Jan 12 to SEC'!$Q$6:$Q$191, MATCH($A14&amp;"USD bn", 'Database.Jan 12 to SEC'!$AD$6:$AD$191, 0))), INDEX('Database.Jan 12 to SEC'!$Q$6:$Q$191, MATCH($A14&amp;"USD bn", 'Database.Jan 12 to SEC'!$AD$6:$AD$191, 0)), "")</f>
        <v/>
      </c>
      <c r="J14" s="918"/>
      <c r="K14" s="918" t="str">
        <f>IF(ISNUMBER(INDEX('Database.Jan 12 to SEC'!$U$6:$U$191, MATCH($A14&amp;"USD bn", 'Database.Jan 12 to SEC'!$AD$6:$AD$191, 0))), INDEX('Database.Jan 12 to SEC'!$U$6:$U$191, MATCH($A14&amp;"USD bn", 'Database.Jan 12 to SEC'!$AD$6:$AD$191, 0)), "")</f>
        <v/>
      </c>
      <c r="L14" s="918" t="str">
        <f>IF(ISNUMBER(INDEX('Database.Jan 12 to SEC'!$W$6:$W$191, MATCH($A14&amp;"USD bn", 'Database.Jan 12 to SEC'!$AD$6:$AD$191, 0))), INDEX('Database.Jan 12 to SEC'!$W$6:$W$191, MATCH($A14&amp;"USD bn", 'Database.Jan 12 to SEC'!$AD$6:$AD$191, 0)), "")</f>
        <v/>
      </c>
      <c r="M14" s="885"/>
      <c r="N14" s="885"/>
      <c r="O14" s="882" t="str">
        <f>IF(ISNUMBER(INDEX('Database.Jan 12 to SEC'!$G$6:$G$191, MATCH($A14&amp;"% GDP", 'Database.Jan 12 to SEC'!$AD$6:$AD$191, 0))), INDEX('Database.Jan 12 to SEC'!$G$6:$G$191, MATCH($A14&amp;"% GDP", 'Database.Jan 12 to SEC'!$AD$6:$AD$191, 0)), "")</f>
        <v/>
      </c>
      <c r="P14" s="881" t="str">
        <f>IF(ISNUMBER(INDEX('Database.Jan 12 to SEC'!$H$6:$H$191, MATCH($A14&amp;"% GDP", 'Database.Jan 12 to SEC'!$AD$6:$AD$191, 0))), INDEX('Database.Jan 12 to SEC'!$H$6:$H$191, MATCH($A14&amp;"% GDP", 'Database.Jan 12 to SEC'!$AD$6:$AD$191, 0)), "")</f>
        <v/>
      </c>
      <c r="Q14" s="881" t="str">
        <f>IF(ISNUMBER(INDEX('Database.Jan 12 to SEC'!$J$6:$J$191, MATCH($A14&amp;"% GDP", 'Database.Jan 12 to SEC'!$AD$6:$AD$191, 0))), INDEX('Database.Jan 12 to SEC'!$J$6:$J$191, MATCH($A14&amp;"% GDP", 'Database.Jan 12 to SEC'!$AD$6:$AD$191, 0)), "")</f>
        <v/>
      </c>
      <c r="R14" s="881" t="str">
        <f>IF(ISNUMBER(INDEX('Database.Jan 12 to SEC'!$L$6:$L$191, MATCH($A14&amp;"% GDP", 'Database.Jan 12 to SEC'!$AD$6:$AD$191, 0))), INDEX('Database.Jan 12 to SEC'!$L$6:$L$191, MATCH($A14&amp;"% GDP", 'Database.Jan 12 to SEC'!$AD$6:$AD$191, 0)), "")</f>
        <v/>
      </c>
      <c r="S14" s="883"/>
      <c r="T14" s="882" t="str">
        <f>IF(ISNUMBER(INDEX('Database.Jan 12 to SEC'!$P$6:$P$191, MATCH($A14&amp;"% GDP", 'Database.Jan 12 to SEC'!$AD$6:$AD$191, 0))), INDEX('Database.Jan 12 to SEC'!$P$6:$P$191, MATCH($A14&amp;"% GDP", 'Database.Jan 12 to SEC'!$AD$6:$AD$191, 0)), "")</f>
        <v/>
      </c>
      <c r="U14" s="881" t="str">
        <f>IF(ISNUMBER(INDEX('Database.Jan 12 to SEC'!$Q$6:$Q$191, MATCH($A14&amp;"% GDP", 'Database.Jan 12 to SEC'!$AD$6:$AD$191, 0))), INDEX('Database.Jan 12 to SEC'!$Q$6:$Q$191, MATCH($A14&amp;"% GDP", 'Database.Jan 12 to SEC'!$AD$6:$AD$191, 0)), "")</f>
        <v/>
      </c>
      <c r="V14" s="884"/>
      <c r="W14" s="881" t="str">
        <f>IF(ISNUMBER(INDEX('Database.Jan 12 to SEC'!$U$6:$U$191, MATCH($A14&amp;"% GDP", 'Database.Jan 12 to SEC'!$AD$6:$AD$191, 0))), INDEX('Database.Jan 12 to SEC'!$U$6:$U$191, MATCH($A14&amp;"% GDP", 'Database.Jan 12 to SEC'!$AD$6:$AD$191, 0)), "")</f>
        <v/>
      </c>
      <c r="X14" s="881" t="str">
        <f>IF(ISNUMBER(INDEX('Database.Jan 12 to SEC'!$W$6:$W$191, MATCH($A14&amp;"% GDP", 'Database.Jan 12 to SEC'!$AD$6:$AD$191, 0))), INDEX('Database.Jan 12 to SEC'!$W$6:$W$191, MATCH($A14&amp;"% GDP", 'Database.Jan 12 to SEC'!$AD$6:$AD$191, 0)), "")</f>
        <v/>
      </c>
      <c r="Z14" s="898"/>
      <c r="AC14" s="562"/>
      <c r="AE14" s="764" t="s">
        <v>5</v>
      </c>
      <c r="AF14" s="839">
        <v>843.8337860086101</v>
      </c>
      <c r="AG14" s="833">
        <v>104.89387795001592</v>
      </c>
      <c r="AH14" s="833">
        <v>738.93990805859414</v>
      </c>
      <c r="AI14" s="833">
        <v>27.16002196920055</v>
      </c>
      <c r="AJ14" s="832"/>
      <c r="AK14" s="839">
        <v>1429.1790870689667</v>
      </c>
      <c r="AL14" s="833" t="s">
        <v>452</v>
      </c>
      <c r="AM14" s="837"/>
      <c r="AN14" s="833">
        <v>147.0387396263616</v>
      </c>
      <c r="AO14" s="833">
        <v>1282.1403474426052</v>
      </c>
      <c r="AP14" s="834"/>
      <c r="AQ14" s="834"/>
      <c r="AR14" s="839">
        <v>16.725807215115971</v>
      </c>
      <c r="AS14" s="833">
        <v>2.0791236493817857</v>
      </c>
      <c r="AT14" s="833">
        <v>14.646683565734186</v>
      </c>
      <c r="AU14" s="833">
        <v>0.5383445163577838</v>
      </c>
      <c r="AV14" s="832"/>
      <c r="AW14" s="839">
        <v>28.328059722826829</v>
      </c>
      <c r="AX14" s="833" t="s">
        <v>452</v>
      </c>
      <c r="AY14" s="837"/>
      <c r="AZ14" s="833">
        <v>2.9144858299369676</v>
      </c>
      <c r="BA14" s="833">
        <v>25.413573892889861</v>
      </c>
    </row>
    <row r="15" spans="1:53">
      <c r="A15" s="764" t="s">
        <v>6</v>
      </c>
      <c r="B15" s="764" t="s">
        <v>6</v>
      </c>
      <c r="C15" s="917" t="str">
        <f>IF(ISNUMBER(INDEX('Database.Jan 12 to SEC'!$G$6:$G$191, MATCH($A15&amp;"USD bn", 'Database.Jan 12 to SEC'!$AD$6:$AD$191, 0))), INDEX('Database.Jan 12 to SEC'!$G$6:$G$191, MATCH($A15&amp;"USD bn", 'Database.Jan 12 to SEC'!$AD$6:$AD$191, 0)), "")</f>
        <v/>
      </c>
      <c r="D15" s="918" t="str">
        <f>IF(ISNUMBER(INDEX('Database.Jan 12 to SEC'!$H$6:$H$191, MATCH($A15&amp;"USD bn", 'Database.Jan 12 to SEC'!$AD$6:$AD$191, 0))), INDEX('Database.Jan 12 to SEC'!$H$6:$H$191, MATCH($A15&amp;"USD bn", 'Database.Jan 12 to SEC'!$AD$6:$AD$191, 0)), "")</f>
        <v/>
      </c>
      <c r="E15" s="918" t="str">
        <f>IF(ISNUMBER(INDEX('Database.Jan 12 to SEC'!$J$6:$J$191, MATCH($A15&amp;"USD bn", 'Database.Jan 12 to SEC'!$AD$6:$AD$191, 0))), INDEX('Database.Jan 12 to SEC'!$J$6:$J$191, MATCH($A15&amp;"USD bn", 'Database.Jan 12 to SEC'!$AD$6:$AD$191, 0)), "")</f>
        <v/>
      </c>
      <c r="F15" s="918" t="str">
        <f>IF(ISNUMBER(INDEX('Database.Jan 12 to SEC'!$L$6:$L$191, MATCH($A15&amp;"USD bn", 'Database.Jan 12 to SEC'!$AD$6:$AD$191, 0))), INDEX('Database.Jan 12 to SEC'!$L$6:$L$191, MATCH($A15&amp;"USD bn", 'Database.Jan 12 to SEC'!$AD$6:$AD$191, 0)), "")</f>
        <v/>
      </c>
      <c r="G15" s="918"/>
      <c r="H15" s="919" t="str">
        <f>IF(ISNUMBER(INDEX('Database.Jan 12 to SEC'!$P$6:$P$191, MATCH($A15&amp;"USD bn", 'Database.Jan 12 to SEC'!$AD$6:$AD$191, 0))), INDEX('Database.Jan 12 to SEC'!$P$6:$P$191, MATCH($A15&amp;"USD bn", 'Database.Jan 12 to SEC'!$AD$6:$AD$191, 0)), "")</f>
        <v/>
      </c>
      <c r="I15" s="918" t="str">
        <f>IF(ISNUMBER(INDEX('Database.Jan 12 to SEC'!$Q$6:$Q$191, MATCH($A15&amp;"USD bn", 'Database.Jan 12 to SEC'!$AD$6:$AD$191, 0))), INDEX('Database.Jan 12 to SEC'!$Q$6:$Q$191, MATCH($A15&amp;"USD bn", 'Database.Jan 12 to SEC'!$AD$6:$AD$191, 0)), "")</f>
        <v/>
      </c>
      <c r="J15" s="918"/>
      <c r="K15" s="918" t="str">
        <f>IF(ISNUMBER(INDEX('Database.Jan 12 to SEC'!$U$6:$U$191, MATCH($A15&amp;"USD bn", 'Database.Jan 12 to SEC'!$AD$6:$AD$191, 0))), INDEX('Database.Jan 12 to SEC'!$U$6:$U$191, MATCH($A15&amp;"USD bn", 'Database.Jan 12 to SEC'!$AD$6:$AD$191, 0)), "")</f>
        <v/>
      </c>
      <c r="L15" s="918" t="str">
        <f>IF(ISNUMBER(INDEX('Database.Jan 12 to SEC'!$W$6:$W$191, MATCH($A15&amp;"USD bn", 'Database.Jan 12 to SEC'!$AD$6:$AD$191, 0))), INDEX('Database.Jan 12 to SEC'!$W$6:$W$191, MATCH($A15&amp;"USD bn", 'Database.Jan 12 to SEC'!$AD$6:$AD$191, 0)), "")</f>
        <v/>
      </c>
      <c r="M15" s="885"/>
      <c r="N15" s="885"/>
      <c r="O15" s="882" t="str">
        <f>IF(ISNUMBER(INDEX('Database.Jan 12 to SEC'!$G$6:$G$191, MATCH($A15&amp;"% GDP", 'Database.Jan 12 to SEC'!$AD$6:$AD$191, 0))), INDEX('Database.Jan 12 to SEC'!$G$6:$G$191, MATCH($A15&amp;"% GDP", 'Database.Jan 12 to SEC'!$AD$6:$AD$191, 0)), "")</f>
        <v/>
      </c>
      <c r="P15" s="881" t="str">
        <f>IF(ISNUMBER(INDEX('Database.Jan 12 to SEC'!$H$6:$H$191, MATCH($A15&amp;"% GDP", 'Database.Jan 12 to SEC'!$AD$6:$AD$191, 0))), INDEX('Database.Jan 12 to SEC'!$H$6:$H$191, MATCH($A15&amp;"% GDP", 'Database.Jan 12 to SEC'!$AD$6:$AD$191, 0)), "")</f>
        <v/>
      </c>
      <c r="Q15" s="881" t="str">
        <f>IF(ISNUMBER(INDEX('Database.Jan 12 to SEC'!$J$6:$J$191, MATCH($A15&amp;"% GDP", 'Database.Jan 12 to SEC'!$AD$6:$AD$191, 0))), INDEX('Database.Jan 12 to SEC'!$J$6:$J$191, MATCH($A15&amp;"% GDP", 'Database.Jan 12 to SEC'!$AD$6:$AD$191, 0)), "")</f>
        <v/>
      </c>
      <c r="R15" s="881" t="str">
        <f>IF(ISNUMBER(INDEX('Database.Jan 12 to SEC'!$L$6:$L$191, MATCH($A15&amp;"% GDP", 'Database.Jan 12 to SEC'!$AD$6:$AD$191, 0))), INDEX('Database.Jan 12 to SEC'!$L$6:$L$191, MATCH($A15&amp;"% GDP", 'Database.Jan 12 to SEC'!$AD$6:$AD$191, 0)), "")</f>
        <v/>
      </c>
      <c r="S15" s="883"/>
      <c r="T15" s="882" t="str">
        <f>IF(ISNUMBER(INDEX('Database.Jan 12 to SEC'!$P$6:$P$191, MATCH($A15&amp;"% GDP", 'Database.Jan 12 to SEC'!$AD$6:$AD$191, 0))), INDEX('Database.Jan 12 to SEC'!$P$6:$P$191, MATCH($A15&amp;"% GDP", 'Database.Jan 12 to SEC'!$AD$6:$AD$191, 0)), "")</f>
        <v/>
      </c>
      <c r="U15" s="881" t="str">
        <f>IF(ISNUMBER(INDEX('Database.Jan 12 to SEC'!$Q$6:$Q$191, MATCH($A15&amp;"% GDP", 'Database.Jan 12 to SEC'!$AD$6:$AD$191, 0))), INDEX('Database.Jan 12 to SEC'!$Q$6:$Q$191, MATCH($A15&amp;"% GDP", 'Database.Jan 12 to SEC'!$AD$6:$AD$191, 0)), "")</f>
        <v/>
      </c>
      <c r="V15" s="884"/>
      <c r="W15" s="881" t="str">
        <f>IF(ISNUMBER(INDEX('Database.Jan 12 to SEC'!$U$6:$U$191, MATCH($A15&amp;"% GDP", 'Database.Jan 12 to SEC'!$AD$6:$AD$191, 0))), INDEX('Database.Jan 12 to SEC'!$U$6:$U$191, MATCH($A15&amp;"% GDP", 'Database.Jan 12 to SEC'!$AD$6:$AD$191, 0)), "")</f>
        <v/>
      </c>
      <c r="X15" s="881" t="str">
        <f>IF(ISNUMBER(INDEX('Database.Jan 12 to SEC'!$W$6:$W$191, MATCH($A15&amp;"% GDP", 'Database.Jan 12 to SEC'!$AD$6:$AD$191, 0))), INDEX('Database.Jan 12 to SEC'!$W$6:$W$191, MATCH($A15&amp;"% GDP", 'Database.Jan 12 to SEC'!$AD$6:$AD$191, 0)), "")</f>
        <v/>
      </c>
      <c r="Z15" s="898"/>
      <c r="AC15" s="562"/>
      <c r="AE15" s="764" t="s">
        <v>6</v>
      </c>
      <c r="AF15" s="839">
        <v>104.83004568682564</v>
      </c>
      <c r="AG15" s="833">
        <v>11.949099791303487</v>
      </c>
      <c r="AH15" s="833">
        <v>92.88094589552216</v>
      </c>
      <c r="AI15" s="833">
        <v>27.965978234965611</v>
      </c>
      <c r="AJ15" s="832"/>
      <c r="AK15" s="839">
        <v>166.01621624938676</v>
      </c>
      <c r="AL15" s="833" t="s">
        <v>452</v>
      </c>
      <c r="AM15" s="837"/>
      <c r="AN15" s="833">
        <v>60.08448051088066</v>
      </c>
      <c r="AO15" s="833">
        <v>105.93173573850609</v>
      </c>
      <c r="AP15" s="834"/>
      <c r="AQ15" s="834"/>
      <c r="AR15" s="839">
        <v>6.3988747084813387</v>
      </c>
      <c r="AS15" s="833">
        <v>0.7293786046045827</v>
      </c>
      <c r="AT15" s="833">
        <v>5.6694961038767557</v>
      </c>
      <c r="AU15" s="833">
        <v>1.7070563086490231</v>
      </c>
      <c r="AV15" s="832"/>
      <c r="AW15" s="839">
        <v>10.133706995889202</v>
      </c>
      <c r="AX15" s="833" t="s">
        <v>452</v>
      </c>
      <c r="AY15" s="837"/>
      <c r="AZ15" s="833">
        <v>3.6675846146429012</v>
      </c>
      <c r="BA15" s="833">
        <v>6.4661223812463007</v>
      </c>
    </row>
    <row r="16" spans="1:53">
      <c r="A16" s="764" t="s">
        <v>32</v>
      </c>
      <c r="B16" s="764" t="s">
        <v>32</v>
      </c>
      <c r="C16" s="917" t="str">
        <f>IF(ISNUMBER(INDEX('Database.Jan 12 to SEC'!$G$6:$G$191, MATCH($A16&amp;"USD bn", 'Database.Jan 12 to SEC'!$AD$6:$AD$191, 0))), INDEX('Database.Jan 12 to SEC'!$G$6:$G$191, MATCH($A16&amp;"USD bn", 'Database.Jan 12 to SEC'!$AD$6:$AD$191, 0)), "")</f>
        <v/>
      </c>
      <c r="D16" s="918" t="str">
        <f>IF(ISNUMBER(INDEX('Database.Jan 12 to SEC'!$H$6:$H$191, MATCH($A16&amp;"USD bn", 'Database.Jan 12 to SEC'!$AD$6:$AD$191, 0))), INDEX('Database.Jan 12 to SEC'!$H$6:$H$191, MATCH($A16&amp;"USD bn", 'Database.Jan 12 to SEC'!$AD$6:$AD$191, 0)), "")</f>
        <v/>
      </c>
      <c r="E16" s="918" t="str">
        <f>IF(ISNUMBER(INDEX('Database.Jan 12 to SEC'!$J$6:$J$191, MATCH($A16&amp;"USD bn", 'Database.Jan 12 to SEC'!$AD$6:$AD$191, 0))), INDEX('Database.Jan 12 to SEC'!$J$6:$J$191, MATCH($A16&amp;"USD bn", 'Database.Jan 12 to SEC'!$AD$6:$AD$191, 0)), "")</f>
        <v/>
      </c>
      <c r="F16" s="918" t="str">
        <f>IF(ISNUMBER(INDEX('Database.Jan 12 to SEC'!$L$6:$L$191, MATCH($A16&amp;"USD bn", 'Database.Jan 12 to SEC'!$AD$6:$AD$191, 0))), INDEX('Database.Jan 12 to SEC'!$L$6:$L$191, MATCH($A16&amp;"USD bn", 'Database.Jan 12 to SEC'!$AD$6:$AD$191, 0)), "")</f>
        <v/>
      </c>
      <c r="G16" s="918"/>
      <c r="H16" s="919" t="str">
        <f>IF(ISNUMBER(INDEX('Database.Jan 12 to SEC'!$P$6:$P$191, MATCH($A16&amp;"USD bn", 'Database.Jan 12 to SEC'!$AD$6:$AD$191, 0))), INDEX('Database.Jan 12 to SEC'!$P$6:$P$191, MATCH($A16&amp;"USD bn", 'Database.Jan 12 to SEC'!$AD$6:$AD$191, 0)), "")</f>
        <v/>
      </c>
      <c r="I16" s="918" t="str">
        <f>IF(ISNUMBER(INDEX('Database.Jan 12 to SEC'!$Q$6:$Q$191, MATCH($A16&amp;"USD bn", 'Database.Jan 12 to SEC'!$AD$6:$AD$191, 0))), INDEX('Database.Jan 12 to SEC'!$Q$6:$Q$191, MATCH($A16&amp;"USD bn", 'Database.Jan 12 to SEC'!$AD$6:$AD$191, 0)), "")</f>
        <v/>
      </c>
      <c r="J16" s="918"/>
      <c r="K16" s="918" t="str">
        <f>IF(ISNUMBER(INDEX('Database.Jan 12 to SEC'!$U$6:$U$191, MATCH($A16&amp;"USD bn", 'Database.Jan 12 to SEC'!$AD$6:$AD$191, 0))), INDEX('Database.Jan 12 to SEC'!$U$6:$U$191, MATCH($A16&amp;"USD bn", 'Database.Jan 12 to SEC'!$AD$6:$AD$191, 0)), "")</f>
        <v/>
      </c>
      <c r="L16" s="918" t="str">
        <f>IF(ISNUMBER(INDEX('Database.Jan 12 to SEC'!$W$6:$W$191, MATCH($A16&amp;"USD bn", 'Database.Jan 12 to SEC'!$AD$6:$AD$191, 0))), INDEX('Database.Jan 12 to SEC'!$W$6:$W$191, MATCH($A16&amp;"USD bn", 'Database.Jan 12 to SEC'!$AD$6:$AD$191, 0)), "")</f>
        <v/>
      </c>
      <c r="M16" s="885"/>
      <c r="N16" s="885"/>
      <c r="O16" s="882" t="str">
        <f>IF(ISNUMBER(INDEX('Database.Jan 12 to SEC'!$G$6:$G$191, MATCH($A16&amp;"% GDP", 'Database.Jan 12 to SEC'!$AD$6:$AD$191, 0))), INDEX('Database.Jan 12 to SEC'!$G$6:$G$191, MATCH($A16&amp;"% GDP", 'Database.Jan 12 to SEC'!$AD$6:$AD$191, 0)), "")</f>
        <v/>
      </c>
      <c r="P16" s="881" t="str">
        <f>IF(ISNUMBER(INDEX('Database.Jan 12 to SEC'!$H$6:$H$191, MATCH($A16&amp;"% GDP", 'Database.Jan 12 to SEC'!$AD$6:$AD$191, 0))), INDEX('Database.Jan 12 to SEC'!$H$6:$H$191, MATCH($A16&amp;"% GDP", 'Database.Jan 12 to SEC'!$AD$6:$AD$191, 0)), "")</f>
        <v/>
      </c>
      <c r="Q16" s="881" t="str">
        <f>IF(ISNUMBER(INDEX('Database.Jan 12 to SEC'!$J$6:$J$191, MATCH($A16&amp;"% GDP", 'Database.Jan 12 to SEC'!$AD$6:$AD$191, 0))), INDEX('Database.Jan 12 to SEC'!$J$6:$J$191, MATCH($A16&amp;"% GDP", 'Database.Jan 12 to SEC'!$AD$6:$AD$191, 0)), "")</f>
        <v/>
      </c>
      <c r="R16" s="881" t="str">
        <f>IF(ISNUMBER(INDEX('Database.Jan 12 to SEC'!$L$6:$L$191, MATCH($A16&amp;"% GDP", 'Database.Jan 12 to SEC'!$AD$6:$AD$191, 0))), INDEX('Database.Jan 12 to SEC'!$L$6:$L$191, MATCH($A16&amp;"% GDP", 'Database.Jan 12 to SEC'!$AD$6:$AD$191, 0)), "")</f>
        <v/>
      </c>
      <c r="S16" s="883"/>
      <c r="T16" s="882" t="str">
        <f>IF(ISNUMBER(INDEX('Database.Jan 12 to SEC'!$P$6:$P$191, MATCH($A16&amp;"% GDP", 'Database.Jan 12 to SEC'!$AD$6:$AD$191, 0))), INDEX('Database.Jan 12 to SEC'!$P$6:$P$191, MATCH($A16&amp;"% GDP", 'Database.Jan 12 to SEC'!$AD$6:$AD$191, 0)), "")</f>
        <v/>
      </c>
      <c r="U16" s="881" t="str">
        <f>IF(ISNUMBER(INDEX('Database.Jan 12 to SEC'!$Q$6:$Q$191, MATCH($A16&amp;"% GDP", 'Database.Jan 12 to SEC'!$AD$6:$AD$191, 0))), INDEX('Database.Jan 12 to SEC'!$Q$6:$Q$191, MATCH($A16&amp;"% GDP", 'Database.Jan 12 to SEC'!$AD$6:$AD$191, 0)), "")</f>
        <v/>
      </c>
      <c r="V16" s="884"/>
      <c r="W16" s="881" t="str">
        <f>IF(ISNUMBER(INDEX('Database.Jan 12 to SEC'!$U$6:$U$191, MATCH($A16&amp;"% GDP", 'Database.Jan 12 to SEC'!$AD$6:$AD$191, 0))), INDEX('Database.Jan 12 to SEC'!$U$6:$U$191, MATCH($A16&amp;"% GDP", 'Database.Jan 12 to SEC'!$AD$6:$AD$191, 0)), "")</f>
        <v/>
      </c>
      <c r="X16" s="881" t="str">
        <f>IF(ISNUMBER(INDEX('Database.Jan 12 to SEC'!$W$6:$W$191, MATCH($A16&amp;"% GDP", 'Database.Jan 12 to SEC'!$AD$6:$AD$191, 0))), INDEX('Database.Jan 12 to SEC'!$W$6:$W$191, MATCH($A16&amp;"% GDP", 'Database.Jan 12 to SEC'!$AD$6:$AD$191, 0)), "")</f>
        <v/>
      </c>
      <c r="Z16" s="898"/>
      <c r="AC16" s="562"/>
      <c r="AE16" s="764" t="s">
        <v>32</v>
      </c>
      <c r="AF16" s="839">
        <v>107.45168705821794</v>
      </c>
      <c r="AG16" s="833">
        <v>21.924024518198266</v>
      </c>
      <c r="AH16" s="833">
        <v>85.527662540019676</v>
      </c>
      <c r="AI16" s="833">
        <v>5.1357683670948562E-2</v>
      </c>
      <c r="AJ16" s="832"/>
      <c r="AK16" s="839">
        <v>184.01914572044612</v>
      </c>
      <c r="AL16" s="833">
        <v>0.72927910812746966</v>
      </c>
      <c r="AM16" s="837"/>
      <c r="AN16" s="833">
        <v>171.87704801877453</v>
      </c>
      <c r="AO16" s="833">
        <v>11.412818593544126</v>
      </c>
      <c r="AP16" s="834"/>
      <c r="AQ16" s="834"/>
      <c r="AR16" s="839">
        <v>8.3916545151825215</v>
      </c>
      <c r="AS16" s="833">
        <v>1.7122005654451007</v>
      </c>
      <c r="AT16" s="833">
        <v>6.6794539497374208</v>
      </c>
      <c r="AU16" s="833">
        <v>4.010881074702214E-3</v>
      </c>
      <c r="AV16" s="832"/>
      <c r="AW16" s="839">
        <v>14.371343413420227</v>
      </c>
      <c r="AX16" s="833">
        <v>5.6954511260771438E-2</v>
      </c>
      <c r="AY16" s="837"/>
      <c r="AZ16" s="833">
        <v>13.423081996670074</v>
      </c>
      <c r="BA16" s="833">
        <v>0.89130690548938096</v>
      </c>
    </row>
    <row r="17" spans="1:53">
      <c r="A17" s="764" t="s">
        <v>7</v>
      </c>
      <c r="B17" s="764" t="s">
        <v>7</v>
      </c>
      <c r="C17" s="917" t="str">
        <f>IF(ISNUMBER(INDEX('Database.Jan 12 to SEC'!$G$6:$G$191, MATCH($A17&amp;"USD bn", 'Database.Jan 12 to SEC'!$AD$6:$AD$191, 0))), INDEX('Database.Jan 12 to SEC'!$G$6:$G$191, MATCH($A17&amp;"USD bn", 'Database.Jan 12 to SEC'!$AD$6:$AD$191, 0)), "")</f>
        <v/>
      </c>
      <c r="D17" s="918" t="str">
        <f>IF(ISNUMBER(INDEX('Database.Jan 12 to SEC'!$H$6:$H$191, MATCH($A17&amp;"USD bn", 'Database.Jan 12 to SEC'!$AD$6:$AD$191, 0))), INDEX('Database.Jan 12 to SEC'!$H$6:$H$191, MATCH($A17&amp;"USD bn", 'Database.Jan 12 to SEC'!$AD$6:$AD$191, 0)), "")</f>
        <v/>
      </c>
      <c r="E17" s="918" t="str">
        <f>IF(ISNUMBER(INDEX('Database.Jan 12 to SEC'!$J$6:$J$191, MATCH($A17&amp;"USD bn", 'Database.Jan 12 to SEC'!$AD$6:$AD$191, 0))), INDEX('Database.Jan 12 to SEC'!$J$6:$J$191, MATCH($A17&amp;"USD bn", 'Database.Jan 12 to SEC'!$AD$6:$AD$191, 0)), "")</f>
        <v/>
      </c>
      <c r="F17" s="918" t="str">
        <f>IF(ISNUMBER(INDEX('Database.Jan 12 to SEC'!$L$6:$L$191, MATCH($A17&amp;"USD bn", 'Database.Jan 12 to SEC'!$AD$6:$AD$191, 0))), INDEX('Database.Jan 12 to SEC'!$L$6:$L$191, MATCH($A17&amp;"USD bn", 'Database.Jan 12 to SEC'!$AD$6:$AD$191, 0)), "")</f>
        <v/>
      </c>
      <c r="G17" s="918"/>
      <c r="H17" s="919" t="str">
        <f>IF(ISNUMBER(INDEX('Database.Jan 12 to SEC'!$P$6:$P$191, MATCH($A17&amp;"USD bn", 'Database.Jan 12 to SEC'!$AD$6:$AD$191, 0))), INDEX('Database.Jan 12 to SEC'!$P$6:$P$191, MATCH($A17&amp;"USD bn", 'Database.Jan 12 to SEC'!$AD$6:$AD$191, 0)), "")</f>
        <v/>
      </c>
      <c r="I17" s="918" t="str">
        <f>IF(ISNUMBER(INDEX('Database.Jan 12 to SEC'!$Q$6:$Q$191, MATCH($A17&amp;"USD bn", 'Database.Jan 12 to SEC'!$AD$6:$AD$191, 0))), INDEX('Database.Jan 12 to SEC'!$Q$6:$Q$191, MATCH($A17&amp;"USD bn", 'Database.Jan 12 to SEC'!$AD$6:$AD$191, 0)), "")</f>
        <v/>
      </c>
      <c r="J17" s="918"/>
      <c r="K17" s="918" t="str">
        <f>IF(ISNUMBER(INDEX('Database.Jan 12 to SEC'!$U$6:$U$191, MATCH($A17&amp;"USD bn", 'Database.Jan 12 to SEC'!$AD$6:$AD$191, 0))), INDEX('Database.Jan 12 to SEC'!$U$6:$U$191, MATCH($A17&amp;"USD bn", 'Database.Jan 12 to SEC'!$AD$6:$AD$191, 0)), "")</f>
        <v/>
      </c>
      <c r="L17" s="918" t="str">
        <f>IF(ISNUMBER(INDEX('Database.Jan 12 to SEC'!$W$6:$W$191, MATCH($A17&amp;"USD bn", 'Database.Jan 12 to SEC'!$AD$6:$AD$191, 0))), INDEX('Database.Jan 12 to SEC'!$W$6:$W$191, MATCH($A17&amp;"USD bn", 'Database.Jan 12 to SEC'!$AD$6:$AD$191, 0)), "")</f>
        <v/>
      </c>
      <c r="M17" s="885"/>
      <c r="N17" s="885"/>
      <c r="O17" s="882" t="str">
        <f>IF(ISNUMBER(INDEX('Database.Jan 12 to SEC'!$G$6:$G$191, MATCH($A17&amp;"% GDP", 'Database.Jan 12 to SEC'!$AD$6:$AD$191, 0))), INDEX('Database.Jan 12 to SEC'!$G$6:$G$191, MATCH($A17&amp;"% GDP", 'Database.Jan 12 to SEC'!$AD$6:$AD$191, 0)), "")</f>
        <v/>
      </c>
      <c r="P17" s="881" t="str">
        <f>IF(ISNUMBER(INDEX('Database.Jan 12 to SEC'!$H$6:$H$191, MATCH($A17&amp;"% GDP", 'Database.Jan 12 to SEC'!$AD$6:$AD$191, 0))), INDEX('Database.Jan 12 to SEC'!$H$6:$H$191, MATCH($A17&amp;"% GDP", 'Database.Jan 12 to SEC'!$AD$6:$AD$191, 0)), "")</f>
        <v/>
      </c>
      <c r="Q17" s="881" t="str">
        <f>IF(ISNUMBER(INDEX('Database.Jan 12 to SEC'!$J$6:$J$191, MATCH($A17&amp;"% GDP", 'Database.Jan 12 to SEC'!$AD$6:$AD$191, 0))), INDEX('Database.Jan 12 to SEC'!$J$6:$J$191, MATCH($A17&amp;"% GDP", 'Database.Jan 12 to SEC'!$AD$6:$AD$191, 0)), "")</f>
        <v/>
      </c>
      <c r="R17" s="881" t="str">
        <f>IF(ISNUMBER(INDEX('Database.Jan 12 to SEC'!$L$6:$L$191, MATCH($A17&amp;"% GDP", 'Database.Jan 12 to SEC'!$AD$6:$AD$191, 0))), INDEX('Database.Jan 12 to SEC'!$L$6:$L$191, MATCH($A17&amp;"% GDP", 'Database.Jan 12 to SEC'!$AD$6:$AD$191, 0)), "")</f>
        <v/>
      </c>
      <c r="S17" s="883"/>
      <c r="T17" s="882" t="str">
        <f>IF(ISNUMBER(INDEX('Database.Jan 12 to SEC'!$P$6:$P$191, MATCH($A17&amp;"% GDP", 'Database.Jan 12 to SEC'!$AD$6:$AD$191, 0))), INDEX('Database.Jan 12 to SEC'!$P$6:$P$191, MATCH($A17&amp;"% GDP", 'Database.Jan 12 to SEC'!$AD$6:$AD$191, 0)), "")</f>
        <v/>
      </c>
      <c r="U17" s="881" t="str">
        <f>IF(ISNUMBER(INDEX('Database.Jan 12 to SEC'!$Q$6:$Q$191, MATCH($A17&amp;"% GDP", 'Database.Jan 12 to SEC'!$AD$6:$AD$191, 0))), INDEX('Database.Jan 12 to SEC'!$Q$6:$Q$191, MATCH($A17&amp;"% GDP", 'Database.Jan 12 to SEC'!$AD$6:$AD$191, 0)), "")</f>
        <v/>
      </c>
      <c r="V17" s="884"/>
      <c r="W17" s="881" t="str">
        <f>IF(ISNUMBER(INDEX('Database.Jan 12 to SEC'!$U$6:$U$191, MATCH($A17&amp;"% GDP", 'Database.Jan 12 to SEC'!$AD$6:$AD$191, 0))), INDEX('Database.Jan 12 to SEC'!$U$6:$U$191, MATCH($A17&amp;"% GDP", 'Database.Jan 12 to SEC'!$AD$6:$AD$191, 0)), "")</f>
        <v/>
      </c>
      <c r="X17" s="881" t="str">
        <f>IF(ISNUMBER(INDEX('Database.Jan 12 to SEC'!$W$6:$W$191, MATCH($A17&amp;"% GDP", 'Database.Jan 12 to SEC'!$AD$6:$AD$191, 0))), INDEX('Database.Jan 12 to SEC'!$W$6:$W$191, MATCH($A17&amp;"% GDP", 'Database.Jan 12 to SEC'!$AD$6:$AD$191, 0)), "")</f>
        <v/>
      </c>
      <c r="Z17" s="898"/>
      <c r="AC17" s="562"/>
      <c r="AE17" s="764" t="s">
        <v>7</v>
      </c>
      <c r="AF17" s="839">
        <v>522.16796884260248</v>
      </c>
      <c r="AG17" s="833">
        <v>130.8627342062542</v>
      </c>
      <c r="AH17" s="833">
        <v>391.30523463634825</v>
      </c>
      <c r="AI17" s="833">
        <v>16.03709978017821</v>
      </c>
      <c r="AJ17" s="832"/>
      <c r="AK17" s="839">
        <v>452.92618683170508</v>
      </c>
      <c r="AL17" s="833">
        <v>1.3214570218866846</v>
      </c>
      <c r="AM17" s="837"/>
      <c r="AN17" s="833">
        <v>451.60472980981842</v>
      </c>
      <c r="AO17" s="833" t="s">
        <v>452</v>
      </c>
      <c r="AP17" s="834"/>
      <c r="AQ17" s="834"/>
      <c r="AR17" s="839">
        <v>19.27047748644793</v>
      </c>
      <c r="AS17" s="833">
        <v>4.8294562742449347</v>
      </c>
      <c r="AT17" s="833">
        <v>14.441021212202996</v>
      </c>
      <c r="AU17" s="833">
        <v>0.59184513164766361</v>
      </c>
      <c r="AV17" s="832"/>
      <c r="AW17" s="839">
        <v>16.715126946045977</v>
      </c>
      <c r="AX17" s="833">
        <v>4.8768038847767488E-2</v>
      </c>
      <c r="AY17" s="837"/>
      <c r="AZ17" s="833">
        <v>16.666358907198209</v>
      </c>
      <c r="BA17" s="833" t="s">
        <v>452</v>
      </c>
    </row>
    <row r="18" spans="1:53">
      <c r="A18" s="764" t="s">
        <v>8</v>
      </c>
      <c r="B18" s="764" t="s">
        <v>8</v>
      </c>
      <c r="C18" s="917" t="str">
        <f>IF(ISNUMBER(INDEX('Database.Jan 12 to SEC'!$G$6:$G$191, MATCH($A18&amp;"USD bn", 'Database.Jan 12 to SEC'!$AD$6:$AD$191, 0))), INDEX('Database.Jan 12 to SEC'!$G$6:$G$191, MATCH($A18&amp;"USD bn", 'Database.Jan 12 to SEC'!$AD$6:$AD$191, 0)), "")</f>
        <v/>
      </c>
      <c r="D18" s="918" t="str">
        <f>IF(ISNUMBER(INDEX('Database.Jan 12 to SEC'!$H$6:$H$191, MATCH($A18&amp;"USD bn", 'Database.Jan 12 to SEC'!$AD$6:$AD$191, 0))), INDEX('Database.Jan 12 to SEC'!$H$6:$H$191, MATCH($A18&amp;"USD bn", 'Database.Jan 12 to SEC'!$AD$6:$AD$191, 0)), "")</f>
        <v/>
      </c>
      <c r="E18" s="918" t="str">
        <f>IF(ISNUMBER(INDEX('Database.Jan 12 to SEC'!$J$6:$J$191, MATCH($A18&amp;"USD bn", 'Database.Jan 12 to SEC'!$AD$6:$AD$191, 0))), INDEX('Database.Jan 12 to SEC'!$J$6:$J$191, MATCH($A18&amp;"USD bn", 'Database.Jan 12 to SEC'!$AD$6:$AD$191, 0)), "")</f>
        <v/>
      </c>
      <c r="F18" s="918" t="str">
        <f>IF(ISNUMBER(INDEX('Database.Jan 12 to SEC'!$L$6:$L$191, MATCH($A18&amp;"USD bn", 'Database.Jan 12 to SEC'!$AD$6:$AD$191, 0))), INDEX('Database.Jan 12 to SEC'!$L$6:$L$191, MATCH($A18&amp;"USD bn", 'Database.Jan 12 to SEC'!$AD$6:$AD$191, 0)), "")</f>
        <v/>
      </c>
      <c r="G18" s="918"/>
      <c r="H18" s="919" t="str">
        <f>IF(ISNUMBER(INDEX('Database.Jan 12 to SEC'!$P$6:$P$191, MATCH($A18&amp;"USD bn", 'Database.Jan 12 to SEC'!$AD$6:$AD$191, 0))), INDEX('Database.Jan 12 to SEC'!$P$6:$P$191, MATCH($A18&amp;"USD bn", 'Database.Jan 12 to SEC'!$AD$6:$AD$191, 0)), "")</f>
        <v/>
      </c>
      <c r="I18" s="918" t="str">
        <f>IF(ISNUMBER(INDEX('Database.Jan 12 to SEC'!$Q$6:$Q$191, MATCH($A18&amp;"USD bn", 'Database.Jan 12 to SEC'!$AD$6:$AD$191, 0))), INDEX('Database.Jan 12 to SEC'!$Q$6:$Q$191, MATCH($A18&amp;"USD bn", 'Database.Jan 12 to SEC'!$AD$6:$AD$191, 0)), "")</f>
        <v/>
      </c>
      <c r="J18" s="918"/>
      <c r="K18" s="918" t="str">
        <f>IF(ISNUMBER(INDEX('Database.Jan 12 to SEC'!$U$6:$U$191, MATCH($A18&amp;"USD bn", 'Database.Jan 12 to SEC'!$AD$6:$AD$191, 0))), INDEX('Database.Jan 12 to SEC'!$U$6:$U$191, MATCH($A18&amp;"USD bn", 'Database.Jan 12 to SEC'!$AD$6:$AD$191, 0)), "")</f>
        <v/>
      </c>
      <c r="L18" s="918" t="str">
        <f>IF(ISNUMBER(INDEX('Database.Jan 12 to SEC'!$W$6:$W$191, MATCH($A18&amp;"USD bn", 'Database.Jan 12 to SEC'!$AD$6:$AD$191, 0))), INDEX('Database.Jan 12 to SEC'!$W$6:$W$191, MATCH($A18&amp;"USD bn", 'Database.Jan 12 to SEC'!$AD$6:$AD$191, 0)), "")</f>
        <v/>
      </c>
      <c r="M18" s="885"/>
      <c r="N18" s="885"/>
      <c r="O18" s="882" t="str">
        <f>IF(ISNUMBER(INDEX('Database.Jan 12 to SEC'!$G$6:$G$191, MATCH($A18&amp;"% GDP", 'Database.Jan 12 to SEC'!$AD$6:$AD$191, 0))), INDEX('Database.Jan 12 to SEC'!$G$6:$G$191, MATCH($A18&amp;"% GDP", 'Database.Jan 12 to SEC'!$AD$6:$AD$191, 0)), "")</f>
        <v/>
      </c>
      <c r="P18" s="881" t="str">
        <f>IF(ISNUMBER(INDEX('Database.Jan 12 to SEC'!$H$6:$H$191, MATCH($A18&amp;"% GDP", 'Database.Jan 12 to SEC'!$AD$6:$AD$191, 0))), INDEX('Database.Jan 12 to SEC'!$H$6:$H$191, MATCH($A18&amp;"% GDP", 'Database.Jan 12 to SEC'!$AD$6:$AD$191, 0)), "")</f>
        <v/>
      </c>
      <c r="Q18" s="881" t="str">
        <f>IF(ISNUMBER(INDEX('Database.Jan 12 to SEC'!$J$6:$J$191, MATCH($A18&amp;"% GDP", 'Database.Jan 12 to SEC'!$AD$6:$AD$191, 0))), INDEX('Database.Jan 12 to SEC'!$J$6:$J$191, MATCH($A18&amp;"% GDP", 'Database.Jan 12 to SEC'!$AD$6:$AD$191, 0)), "")</f>
        <v/>
      </c>
      <c r="R18" s="881" t="str">
        <f>IF(ISNUMBER(INDEX('Database.Jan 12 to SEC'!$L$6:$L$191, MATCH($A18&amp;"% GDP", 'Database.Jan 12 to SEC'!$AD$6:$AD$191, 0))), INDEX('Database.Jan 12 to SEC'!$L$6:$L$191, MATCH($A18&amp;"% GDP", 'Database.Jan 12 to SEC'!$AD$6:$AD$191, 0)), "")</f>
        <v/>
      </c>
      <c r="S18" s="883"/>
      <c r="T18" s="882" t="str">
        <f>IF(ISNUMBER(INDEX('Database.Jan 12 to SEC'!$P$6:$P$191, MATCH($A18&amp;"% GDP", 'Database.Jan 12 to SEC'!$AD$6:$AD$191, 0))), INDEX('Database.Jan 12 to SEC'!$P$6:$P$191, MATCH($A18&amp;"% GDP", 'Database.Jan 12 to SEC'!$AD$6:$AD$191, 0)), "")</f>
        <v/>
      </c>
      <c r="U18" s="881" t="str">
        <f>IF(ISNUMBER(INDEX('Database.Jan 12 to SEC'!$Q$6:$Q$191, MATCH($A18&amp;"% GDP", 'Database.Jan 12 to SEC'!$AD$6:$AD$191, 0))), INDEX('Database.Jan 12 to SEC'!$Q$6:$Q$191, MATCH($A18&amp;"% GDP", 'Database.Jan 12 to SEC'!$AD$6:$AD$191, 0)), "")</f>
        <v/>
      </c>
      <c r="V18" s="884"/>
      <c r="W18" s="881" t="str">
        <f>IF(ISNUMBER(INDEX('Database.Jan 12 to SEC'!$U$6:$U$191, MATCH($A18&amp;"% GDP", 'Database.Jan 12 to SEC'!$AD$6:$AD$191, 0))), INDEX('Database.Jan 12 to SEC'!$U$6:$U$191, MATCH($A18&amp;"% GDP", 'Database.Jan 12 to SEC'!$AD$6:$AD$191, 0)), "")</f>
        <v/>
      </c>
      <c r="X18" s="881" t="str">
        <f>IF(ISNUMBER(INDEX('Database.Jan 12 to SEC'!$W$6:$W$191, MATCH($A18&amp;"% GDP", 'Database.Jan 12 to SEC'!$AD$6:$AD$191, 0))), INDEX('Database.Jan 12 to SEC'!$W$6:$W$191, MATCH($A18&amp;"% GDP", 'Database.Jan 12 to SEC'!$AD$6:$AD$191, 0)), "")</f>
        <v/>
      </c>
      <c r="Z18" s="898"/>
      <c r="AC18" s="562"/>
      <c r="AE18" s="764" t="s">
        <v>8</v>
      </c>
      <c r="AF18" s="839">
        <v>5328.3</v>
      </c>
      <c r="AG18" s="833">
        <v>687.3</v>
      </c>
      <c r="AH18" s="833">
        <v>4641</v>
      </c>
      <c r="AI18" s="833">
        <v>17.98</v>
      </c>
      <c r="AJ18" s="832"/>
      <c r="AK18" s="839">
        <v>510</v>
      </c>
      <c r="AL18" s="833">
        <v>56</v>
      </c>
      <c r="AM18" s="837"/>
      <c r="AN18" s="833">
        <v>454</v>
      </c>
      <c r="AO18" s="833" t="s">
        <v>452</v>
      </c>
      <c r="AP18" s="834"/>
      <c r="AQ18" s="834"/>
      <c r="AR18" s="839">
        <v>25.501884534848941</v>
      </c>
      <c r="AS18" s="833">
        <v>3.2895004486987736</v>
      </c>
      <c r="AT18" s="833">
        <v>22.212384086150166</v>
      </c>
      <c r="AU18" s="833">
        <v>8.6054442117858218E-2</v>
      </c>
      <c r="AV18" s="832"/>
      <c r="AW18" s="839">
        <v>2.4409213281483697</v>
      </c>
      <c r="AX18" s="833">
        <v>0.26802273407119354</v>
      </c>
      <c r="AY18" s="837"/>
      <c r="AZ18" s="833">
        <v>2.1728985940771763</v>
      </c>
      <c r="BA18" s="833" t="s">
        <v>452</v>
      </c>
    </row>
    <row r="19" spans="1:53" ht="13.5" customHeight="1">
      <c r="A19" s="829" t="s">
        <v>869</v>
      </c>
      <c r="B19" s="829" t="s">
        <v>869</v>
      </c>
      <c r="C19" s="917" t="str">
        <f>IF(ISNUMBER(INDEX('Database.Jan 12 to SEC'!$G$6:$G$191, MATCH($A19&amp;"USD bn", 'Database.Jan 12 to SEC'!$AD$6:$AD$191, 0))), INDEX('Database.Jan 12 to SEC'!$G$6:$G$191, MATCH($A19&amp;"USD bn", 'Database.Jan 12 to SEC'!$AD$6:$AD$191, 0)), "")</f>
        <v/>
      </c>
      <c r="D19" s="918" t="str">
        <f>IF(ISNUMBER(INDEX('Database.Jan 12 to SEC'!$H$6:$H$191, MATCH($A19&amp;"USD bn", 'Database.Jan 12 to SEC'!$AD$6:$AD$191, 0))), INDEX('Database.Jan 12 to SEC'!$H$6:$H$191, MATCH($A19&amp;"USD bn", 'Database.Jan 12 to SEC'!$AD$6:$AD$191, 0)), "")</f>
        <v/>
      </c>
      <c r="E19" s="918" t="str">
        <f>IF(ISNUMBER(INDEX('Database.Jan 12 to SEC'!$J$6:$J$191, MATCH($A19&amp;"USD bn", 'Database.Jan 12 to SEC'!$AD$6:$AD$191, 0))), INDEX('Database.Jan 12 to SEC'!$J$6:$J$191, MATCH($A19&amp;"USD bn", 'Database.Jan 12 to SEC'!$AD$6:$AD$191, 0)), "")</f>
        <v/>
      </c>
      <c r="F19" s="918" t="str">
        <f>IF(ISNUMBER(INDEX('Database.Jan 12 to SEC'!$L$6:$L$191, MATCH($A19&amp;"USD bn", 'Database.Jan 12 to SEC'!$AD$6:$AD$191, 0))), INDEX('Database.Jan 12 to SEC'!$L$6:$L$191, MATCH($A19&amp;"USD bn", 'Database.Jan 12 to SEC'!$AD$6:$AD$191, 0)), "")</f>
        <v/>
      </c>
      <c r="G19" s="918"/>
      <c r="H19" s="919" t="str">
        <f>IF(ISNUMBER(INDEX('Database.Jan 12 to SEC'!$P$6:$P$191, MATCH($A19&amp;"USD bn", 'Database.Jan 12 to SEC'!$AD$6:$AD$191, 0))), INDEX('Database.Jan 12 to SEC'!$P$6:$P$191, MATCH($A19&amp;"USD bn", 'Database.Jan 12 to SEC'!$AD$6:$AD$191, 0)), "")</f>
        <v/>
      </c>
      <c r="I19" s="918" t="str">
        <f>IF(ISNUMBER(INDEX('Database.Jan 12 to SEC'!$Q$6:$Q$191, MATCH($A19&amp;"USD bn", 'Database.Jan 12 to SEC'!$AD$6:$AD$191, 0))), INDEX('Database.Jan 12 to SEC'!$Q$6:$Q$191, MATCH($A19&amp;"USD bn", 'Database.Jan 12 to SEC'!$AD$6:$AD$191, 0)), "")</f>
        <v/>
      </c>
      <c r="J19" s="918"/>
      <c r="K19" s="918" t="str">
        <f>IF(ISNUMBER(INDEX('Database.Jan 12 to SEC'!$U$6:$U$191, MATCH($A19&amp;"USD bn", 'Database.Jan 12 to SEC'!$AD$6:$AD$191, 0))), INDEX('Database.Jan 12 to SEC'!$U$6:$U$191, MATCH($A19&amp;"USD bn", 'Database.Jan 12 to SEC'!$AD$6:$AD$191, 0)), "")</f>
        <v/>
      </c>
      <c r="L19" s="918" t="str">
        <f>IF(ISNUMBER(INDEX('Database.Jan 12 to SEC'!$W$6:$W$191, MATCH($A19&amp;"USD bn", 'Database.Jan 12 to SEC'!$AD$6:$AD$191, 0))), INDEX('Database.Jan 12 to SEC'!$W$6:$W$191, MATCH($A19&amp;"USD bn", 'Database.Jan 12 to SEC'!$AD$6:$AD$191, 0)), "")</f>
        <v/>
      </c>
      <c r="M19" s="885"/>
      <c r="N19" s="885"/>
      <c r="O19" s="882" t="str">
        <f>IF(ISNUMBER(INDEX('Database.Jan 12 to SEC'!$G$6:$G$191, MATCH($A19&amp;"% GDP", 'Database.Jan 12 to SEC'!$AD$6:$AD$191, 0))), INDEX('Database.Jan 12 to SEC'!$G$6:$G$191, MATCH($A19&amp;"% GDP", 'Database.Jan 12 to SEC'!$AD$6:$AD$191, 0)), "")</f>
        <v/>
      </c>
      <c r="P19" s="881" t="str">
        <f>IF(ISNUMBER(INDEX('Database.Jan 12 to SEC'!$H$6:$H$191, MATCH($A19&amp;"% GDP", 'Database.Jan 12 to SEC'!$AD$6:$AD$191, 0))), INDEX('Database.Jan 12 to SEC'!$H$6:$H$191, MATCH($A19&amp;"% GDP", 'Database.Jan 12 to SEC'!$AD$6:$AD$191, 0)), "")</f>
        <v/>
      </c>
      <c r="Q19" s="881" t="str">
        <f>IF(ISNUMBER(INDEX('Database.Jan 12 to SEC'!$J$6:$J$191, MATCH($A19&amp;"% GDP", 'Database.Jan 12 to SEC'!$AD$6:$AD$191, 0))), INDEX('Database.Jan 12 to SEC'!$J$6:$J$191, MATCH($A19&amp;"% GDP", 'Database.Jan 12 to SEC'!$AD$6:$AD$191, 0)), "")</f>
        <v/>
      </c>
      <c r="R19" s="881" t="str">
        <f>IF(ISNUMBER(INDEX('Database.Jan 12 to SEC'!$L$6:$L$191, MATCH($A19&amp;"% GDP", 'Database.Jan 12 to SEC'!$AD$6:$AD$191, 0))), INDEX('Database.Jan 12 to SEC'!$L$6:$L$191, MATCH($A19&amp;"% GDP", 'Database.Jan 12 to SEC'!$AD$6:$AD$191, 0)), "")</f>
        <v/>
      </c>
      <c r="S19" s="883"/>
      <c r="T19" s="882" t="str">
        <f>IF(ISNUMBER(INDEX('Database.Jan 12 to SEC'!$P$6:$P$191, MATCH($A19&amp;"% GDP", 'Database.Jan 12 to SEC'!$AD$6:$AD$191, 0))), INDEX('Database.Jan 12 to SEC'!$P$6:$P$191, MATCH($A19&amp;"% GDP", 'Database.Jan 12 to SEC'!$AD$6:$AD$191, 0)), "")</f>
        <v/>
      </c>
      <c r="U19" s="881" t="str">
        <f>IF(ISNUMBER(INDEX('Database.Jan 12 to SEC'!$Q$6:$Q$191, MATCH($A19&amp;"% GDP", 'Database.Jan 12 to SEC'!$AD$6:$AD$191, 0))), INDEX('Database.Jan 12 to SEC'!$Q$6:$Q$191, MATCH($A19&amp;"% GDP", 'Database.Jan 12 to SEC'!$AD$6:$AD$191, 0)), "")</f>
        <v/>
      </c>
      <c r="V19" s="884"/>
      <c r="W19" s="881" t="str">
        <f>IF(ISNUMBER(INDEX('Database.Jan 12 to SEC'!$U$6:$U$191, MATCH($A19&amp;"% GDP", 'Database.Jan 12 to SEC'!$AD$6:$AD$191, 0))), INDEX('Database.Jan 12 to SEC'!$U$6:$U$191, MATCH($A19&amp;"% GDP", 'Database.Jan 12 to SEC'!$AD$6:$AD$191, 0)), "")</f>
        <v/>
      </c>
      <c r="X19" s="881" t="str">
        <f>IF(ISNUMBER(INDEX('Database.Jan 12 to SEC'!$W$6:$W$191, MATCH($A19&amp;"% GDP", 'Database.Jan 12 to SEC'!$AD$6:$AD$191, 0))), INDEX('Database.Jan 12 to SEC'!$W$6:$W$191, MATCH($A19&amp;"% GDP", 'Database.Jan 12 to SEC'!$AD$6:$AD$191, 0)), "")</f>
        <v/>
      </c>
      <c r="Z19" s="898"/>
      <c r="AC19" s="561"/>
      <c r="AE19" s="829" t="s">
        <v>869</v>
      </c>
      <c r="AF19" s="839" t="s">
        <v>452</v>
      </c>
      <c r="AG19" s="833" t="s">
        <v>452</v>
      </c>
      <c r="AH19" s="833" t="s">
        <v>452</v>
      </c>
      <c r="AI19" s="833" t="s">
        <v>452</v>
      </c>
      <c r="AJ19" s="832"/>
      <c r="AK19" s="839"/>
      <c r="AL19" s="833"/>
      <c r="AM19" s="837"/>
      <c r="AN19" s="833"/>
      <c r="AO19" s="833"/>
      <c r="AP19" s="834"/>
      <c r="AQ19" s="834"/>
      <c r="AR19" s="839"/>
      <c r="AS19" s="833"/>
      <c r="AT19" s="833"/>
      <c r="AU19" s="833"/>
      <c r="AV19" s="832"/>
      <c r="AW19" s="839"/>
      <c r="AX19" s="833" t="s">
        <v>452</v>
      </c>
      <c r="AY19" s="837"/>
      <c r="AZ19" s="833" t="s">
        <v>452</v>
      </c>
      <c r="BA19" s="833" t="s">
        <v>452</v>
      </c>
    </row>
    <row r="20" spans="1:53" ht="13.5" customHeight="1">
      <c r="A20" s="764" t="s">
        <v>9</v>
      </c>
      <c r="B20" s="764" t="s">
        <v>9</v>
      </c>
      <c r="C20" s="917" t="str">
        <f>IF(ISNUMBER(INDEX('Database.Jan 12 to SEC'!$G$6:$G$191, MATCH($A20&amp;"USD bn", 'Database.Jan 12 to SEC'!$AD$6:$AD$191, 0))), INDEX('Database.Jan 12 to SEC'!$G$6:$G$191, MATCH($A20&amp;"USD bn", 'Database.Jan 12 to SEC'!$AD$6:$AD$191, 0)), "")</f>
        <v/>
      </c>
      <c r="D20" s="918" t="str">
        <f>IF(ISNUMBER(INDEX('Database.Jan 12 to SEC'!$H$6:$H$191, MATCH($A20&amp;"USD bn", 'Database.Jan 12 to SEC'!$AD$6:$AD$191, 0))), INDEX('Database.Jan 12 to SEC'!$H$6:$H$191, MATCH($A20&amp;"USD bn", 'Database.Jan 12 to SEC'!$AD$6:$AD$191, 0)), "")</f>
        <v/>
      </c>
      <c r="E20" s="918" t="str">
        <f>IF(ISNUMBER(INDEX('Database.Jan 12 to SEC'!$J$6:$J$191, MATCH($A20&amp;"USD bn", 'Database.Jan 12 to SEC'!$AD$6:$AD$191, 0))), INDEX('Database.Jan 12 to SEC'!$J$6:$J$191, MATCH($A20&amp;"USD bn", 'Database.Jan 12 to SEC'!$AD$6:$AD$191, 0)), "")</f>
        <v/>
      </c>
      <c r="F20" s="918" t="str">
        <f>IF(ISNUMBER(INDEX('Database.Jan 12 to SEC'!$L$6:$L$191, MATCH($A20&amp;"USD bn", 'Database.Jan 12 to SEC'!$AD$6:$AD$191, 0))), INDEX('Database.Jan 12 to SEC'!$L$6:$L$191, MATCH($A20&amp;"USD bn", 'Database.Jan 12 to SEC'!$AD$6:$AD$191, 0)), "")</f>
        <v/>
      </c>
      <c r="G20" s="918"/>
      <c r="H20" s="919" t="str">
        <f>IF(ISNUMBER(INDEX('Database.Jan 12 to SEC'!$P$6:$P$191, MATCH($A20&amp;"USD bn", 'Database.Jan 12 to SEC'!$AD$6:$AD$191, 0))), INDEX('Database.Jan 12 to SEC'!$P$6:$P$191, MATCH($A20&amp;"USD bn", 'Database.Jan 12 to SEC'!$AD$6:$AD$191, 0)), "")</f>
        <v/>
      </c>
      <c r="I20" s="918" t="str">
        <f>IF(ISNUMBER(INDEX('Database.Jan 12 to SEC'!$Q$6:$Q$191, MATCH($A20&amp;"USD bn", 'Database.Jan 12 to SEC'!$AD$6:$AD$191, 0))), INDEX('Database.Jan 12 to SEC'!$Q$6:$Q$191, MATCH($A20&amp;"USD bn", 'Database.Jan 12 to SEC'!$AD$6:$AD$191, 0)), "")</f>
        <v/>
      </c>
      <c r="J20" s="918"/>
      <c r="K20" s="918" t="str">
        <f>IF(ISNUMBER(INDEX('Database.Jan 12 to SEC'!$U$6:$U$191, MATCH($A20&amp;"USD bn", 'Database.Jan 12 to SEC'!$AD$6:$AD$191, 0))), INDEX('Database.Jan 12 to SEC'!$U$6:$U$191, MATCH($A20&amp;"USD bn", 'Database.Jan 12 to SEC'!$AD$6:$AD$191, 0)), "")</f>
        <v/>
      </c>
      <c r="L20" s="918" t="str">
        <f>IF(ISNUMBER(INDEX('Database.Jan 12 to SEC'!$W$6:$W$191, MATCH($A20&amp;"USD bn", 'Database.Jan 12 to SEC'!$AD$6:$AD$191, 0))), INDEX('Database.Jan 12 to SEC'!$W$6:$W$191, MATCH($A20&amp;"USD bn", 'Database.Jan 12 to SEC'!$AD$6:$AD$191, 0)), "")</f>
        <v/>
      </c>
      <c r="M20" s="885"/>
      <c r="N20" s="885"/>
      <c r="O20" s="882" t="str">
        <f>IF(ISNUMBER(INDEX('Database.Jan 12 to SEC'!$G$6:$G$191, MATCH($A20&amp;"% GDP", 'Database.Jan 12 to SEC'!$AD$6:$AD$191, 0))), INDEX('Database.Jan 12 to SEC'!$G$6:$G$191, MATCH($A20&amp;"% GDP", 'Database.Jan 12 to SEC'!$AD$6:$AD$191, 0)), "")</f>
        <v/>
      </c>
      <c r="P20" s="881" t="str">
        <f>IF(ISNUMBER(INDEX('Database.Jan 12 to SEC'!$H$6:$H$191, MATCH($A20&amp;"% GDP", 'Database.Jan 12 to SEC'!$AD$6:$AD$191, 0))), INDEX('Database.Jan 12 to SEC'!$H$6:$H$191, MATCH($A20&amp;"% GDP", 'Database.Jan 12 to SEC'!$AD$6:$AD$191, 0)), "")</f>
        <v/>
      </c>
      <c r="Q20" s="881" t="str">
        <f>IF(ISNUMBER(INDEX('Database.Jan 12 to SEC'!$J$6:$J$191, MATCH($A20&amp;"% GDP", 'Database.Jan 12 to SEC'!$AD$6:$AD$191, 0))), INDEX('Database.Jan 12 to SEC'!$J$6:$J$191, MATCH($A20&amp;"% GDP", 'Database.Jan 12 to SEC'!$AD$6:$AD$191, 0)), "")</f>
        <v/>
      </c>
      <c r="R20" s="881" t="str">
        <f>IF(ISNUMBER(INDEX('Database.Jan 12 to SEC'!$L$6:$L$191, MATCH($A20&amp;"% GDP", 'Database.Jan 12 to SEC'!$AD$6:$AD$191, 0))), INDEX('Database.Jan 12 to SEC'!$L$6:$L$191, MATCH($A20&amp;"% GDP", 'Database.Jan 12 to SEC'!$AD$6:$AD$191, 0)), "")</f>
        <v/>
      </c>
      <c r="S20" s="883"/>
      <c r="T20" s="882" t="str">
        <f>IF(ISNUMBER(INDEX('Database.Jan 12 to SEC'!$P$6:$P$191, MATCH($A20&amp;"% GDP", 'Database.Jan 12 to SEC'!$AD$6:$AD$191, 0))), INDEX('Database.Jan 12 to SEC'!$P$6:$P$191, MATCH($A20&amp;"% GDP", 'Database.Jan 12 to SEC'!$AD$6:$AD$191, 0)), "")</f>
        <v/>
      </c>
      <c r="U20" s="881" t="str">
        <f>IF(ISNUMBER(INDEX('Database.Jan 12 to SEC'!$Q$6:$Q$191, MATCH($A20&amp;"% GDP", 'Database.Jan 12 to SEC'!$AD$6:$AD$191, 0))), INDEX('Database.Jan 12 to SEC'!$Q$6:$Q$191, MATCH($A20&amp;"% GDP", 'Database.Jan 12 to SEC'!$AD$6:$AD$191, 0)), "")</f>
        <v/>
      </c>
      <c r="V20" s="884"/>
      <c r="W20" s="881" t="str">
        <f>IF(ISNUMBER(INDEX('Database.Jan 12 to SEC'!$U$6:$U$191, MATCH($A20&amp;"% GDP", 'Database.Jan 12 to SEC'!$AD$6:$AD$191, 0))), INDEX('Database.Jan 12 to SEC'!$U$6:$U$191, MATCH($A20&amp;"% GDP", 'Database.Jan 12 to SEC'!$AD$6:$AD$191, 0)), "")</f>
        <v/>
      </c>
      <c r="X20" s="881" t="str">
        <f>IF(ISNUMBER(INDEX('Database.Jan 12 to SEC'!$W$6:$W$191, MATCH($A20&amp;"% GDP", 'Database.Jan 12 to SEC'!$AD$6:$AD$191, 0))), INDEX('Database.Jan 12 to SEC'!$W$6:$W$191, MATCH($A20&amp;"% GDP", 'Database.Jan 12 to SEC'!$AD$6:$AD$191, 0)), "")</f>
        <v/>
      </c>
      <c r="Z20" s="898"/>
      <c r="AC20" s="562"/>
      <c r="AE20" s="764" t="s">
        <v>9</v>
      </c>
      <c r="AF20" s="839">
        <v>20.812695929621835</v>
      </c>
      <c r="AG20" s="833">
        <v>4.9352464465452508</v>
      </c>
      <c r="AH20" s="833">
        <v>15.877449483076585</v>
      </c>
      <c r="AI20" s="833">
        <v>0.14157333466853844</v>
      </c>
      <c r="AJ20" s="832"/>
      <c r="AK20" s="839">
        <v>8.9615920845184842</v>
      </c>
      <c r="AL20" s="833" t="s">
        <v>452</v>
      </c>
      <c r="AM20" s="837"/>
      <c r="AN20" s="833">
        <v>8.9615920845184842</v>
      </c>
      <c r="AO20" s="833" t="s">
        <v>452</v>
      </c>
      <c r="AP20" s="834"/>
      <c r="AQ20" s="834"/>
      <c r="AR20" s="839">
        <v>5.3494285646507498</v>
      </c>
      <c r="AS20" s="833">
        <v>1.2684924818973211</v>
      </c>
      <c r="AT20" s="833">
        <v>4.0809360827534285</v>
      </c>
      <c r="AU20" s="833">
        <v>3.6388195120405073E-2</v>
      </c>
      <c r="AV20" s="832"/>
      <c r="AW20" s="839">
        <v>2.3033727511216413</v>
      </c>
      <c r="AX20" s="833" t="s">
        <v>452</v>
      </c>
      <c r="AY20" s="837"/>
      <c r="AZ20" s="833">
        <v>2.3033727511216413</v>
      </c>
      <c r="BA20" s="833" t="s">
        <v>452</v>
      </c>
    </row>
    <row r="21" spans="1:53">
      <c r="A21" s="764" t="s">
        <v>10</v>
      </c>
      <c r="B21" s="764" t="s">
        <v>10</v>
      </c>
      <c r="C21" s="917" t="str">
        <f>IF(ISNUMBER(INDEX('Database.Jan 12 to SEC'!$G$6:$G$191, MATCH($A21&amp;"USD bn", 'Database.Jan 12 to SEC'!$AD$6:$AD$191, 0))), INDEX('Database.Jan 12 to SEC'!$G$6:$G$191, MATCH($A21&amp;"USD bn", 'Database.Jan 12 to SEC'!$AD$6:$AD$191, 0)), "")</f>
        <v/>
      </c>
      <c r="D21" s="918" t="str">
        <f>IF(ISNUMBER(INDEX('Database.Jan 12 to SEC'!$H$6:$H$191, MATCH($A21&amp;"USD bn", 'Database.Jan 12 to SEC'!$AD$6:$AD$191, 0))), INDEX('Database.Jan 12 to SEC'!$H$6:$H$191, MATCH($A21&amp;"USD bn", 'Database.Jan 12 to SEC'!$AD$6:$AD$191, 0)), "")</f>
        <v/>
      </c>
      <c r="E21" s="918" t="str">
        <f>IF(ISNUMBER(INDEX('Database.Jan 12 to SEC'!$J$6:$J$191, MATCH($A21&amp;"USD bn", 'Database.Jan 12 to SEC'!$AD$6:$AD$191, 0))), INDEX('Database.Jan 12 to SEC'!$J$6:$J$191, MATCH($A21&amp;"USD bn", 'Database.Jan 12 to SEC'!$AD$6:$AD$191, 0)), "")</f>
        <v/>
      </c>
      <c r="F21" s="918" t="str">
        <f>IF(ISNUMBER(INDEX('Database.Jan 12 to SEC'!$L$6:$L$191, MATCH($A21&amp;"USD bn", 'Database.Jan 12 to SEC'!$AD$6:$AD$191, 0))), INDEX('Database.Jan 12 to SEC'!$L$6:$L$191, MATCH($A21&amp;"USD bn", 'Database.Jan 12 to SEC'!$AD$6:$AD$191, 0)), "")</f>
        <v/>
      </c>
      <c r="G21" s="918"/>
      <c r="H21" s="919" t="str">
        <f>IF(ISNUMBER(INDEX('Database.Jan 12 to SEC'!$P$6:$P$191, MATCH($A21&amp;"USD bn", 'Database.Jan 12 to SEC'!$AD$6:$AD$191, 0))), INDEX('Database.Jan 12 to SEC'!$P$6:$P$191, MATCH($A21&amp;"USD bn", 'Database.Jan 12 to SEC'!$AD$6:$AD$191, 0)), "")</f>
        <v/>
      </c>
      <c r="I21" s="918" t="str">
        <f>IF(ISNUMBER(INDEX('Database.Jan 12 to SEC'!$Q$6:$Q$191, MATCH($A21&amp;"USD bn", 'Database.Jan 12 to SEC'!$AD$6:$AD$191, 0))), INDEX('Database.Jan 12 to SEC'!$Q$6:$Q$191, MATCH($A21&amp;"USD bn", 'Database.Jan 12 to SEC'!$AD$6:$AD$191, 0)), "")</f>
        <v/>
      </c>
      <c r="J21" s="918"/>
      <c r="K21" s="918" t="str">
        <f>IF(ISNUMBER(INDEX('Database.Jan 12 to SEC'!$U$6:$U$191, MATCH($A21&amp;"USD bn", 'Database.Jan 12 to SEC'!$AD$6:$AD$191, 0))), INDEX('Database.Jan 12 to SEC'!$U$6:$U$191, MATCH($A21&amp;"USD bn", 'Database.Jan 12 to SEC'!$AD$6:$AD$191, 0)), "")</f>
        <v/>
      </c>
      <c r="L21" s="918" t="str">
        <f>IF(ISNUMBER(INDEX('Database.Jan 12 to SEC'!$W$6:$W$191, MATCH($A21&amp;"USD bn", 'Database.Jan 12 to SEC'!$AD$6:$AD$191, 0))), INDEX('Database.Jan 12 to SEC'!$W$6:$W$191, MATCH($A21&amp;"USD bn", 'Database.Jan 12 to SEC'!$AD$6:$AD$191, 0)), "")</f>
        <v/>
      </c>
      <c r="M21" s="885"/>
      <c r="N21" s="885"/>
      <c r="O21" s="882" t="str">
        <f>IF(ISNUMBER(INDEX('Database.Jan 12 to SEC'!$G$6:$G$191, MATCH($A21&amp;"% GDP", 'Database.Jan 12 to SEC'!$AD$6:$AD$191, 0))), INDEX('Database.Jan 12 to SEC'!$G$6:$G$191, MATCH($A21&amp;"% GDP", 'Database.Jan 12 to SEC'!$AD$6:$AD$191, 0)), "")</f>
        <v/>
      </c>
      <c r="P21" s="881" t="str">
        <f>IF(ISNUMBER(INDEX('Database.Jan 12 to SEC'!$H$6:$H$191, MATCH($A21&amp;"% GDP", 'Database.Jan 12 to SEC'!$AD$6:$AD$191, 0))), INDEX('Database.Jan 12 to SEC'!$H$6:$H$191, MATCH($A21&amp;"% GDP", 'Database.Jan 12 to SEC'!$AD$6:$AD$191, 0)), "")</f>
        <v/>
      </c>
      <c r="Q21" s="881" t="str">
        <f>IF(ISNUMBER(INDEX('Database.Jan 12 to SEC'!$J$6:$J$191, MATCH($A21&amp;"% GDP", 'Database.Jan 12 to SEC'!$AD$6:$AD$191, 0))), INDEX('Database.Jan 12 to SEC'!$J$6:$J$191, MATCH($A21&amp;"% GDP", 'Database.Jan 12 to SEC'!$AD$6:$AD$191, 0)), "")</f>
        <v/>
      </c>
      <c r="R21" s="881" t="str">
        <f>IF(ISNUMBER(INDEX('Database.Jan 12 to SEC'!$L$6:$L$191, MATCH($A21&amp;"% GDP", 'Database.Jan 12 to SEC'!$AD$6:$AD$191, 0))), INDEX('Database.Jan 12 to SEC'!$L$6:$L$191, MATCH($A21&amp;"% GDP", 'Database.Jan 12 to SEC'!$AD$6:$AD$191, 0)), "")</f>
        <v/>
      </c>
      <c r="S21" s="883"/>
      <c r="T21" s="882" t="str">
        <f>IF(ISNUMBER(INDEX('Database.Jan 12 to SEC'!$P$6:$P$191, MATCH($A21&amp;"% GDP", 'Database.Jan 12 to SEC'!$AD$6:$AD$191, 0))), INDEX('Database.Jan 12 to SEC'!$P$6:$P$191, MATCH($A21&amp;"% GDP", 'Database.Jan 12 to SEC'!$AD$6:$AD$191, 0)), "")</f>
        <v/>
      </c>
      <c r="U21" s="881" t="str">
        <f>IF(ISNUMBER(INDEX('Database.Jan 12 to SEC'!$Q$6:$Q$191, MATCH($A21&amp;"% GDP", 'Database.Jan 12 to SEC'!$AD$6:$AD$191, 0))), INDEX('Database.Jan 12 to SEC'!$Q$6:$Q$191, MATCH($A21&amp;"% GDP", 'Database.Jan 12 to SEC'!$AD$6:$AD$191, 0)), "")</f>
        <v/>
      </c>
      <c r="V21" s="884"/>
      <c r="W21" s="881" t="str">
        <f>IF(ISNUMBER(INDEX('Database.Jan 12 to SEC'!$U$6:$U$191, MATCH($A21&amp;"% GDP", 'Database.Jan 12 to SEC'!$AD$6:$AD$191, 0))), INDEX('Database.Jan 12 to SEC'!$U$6:$U$191, MATCH($A21&amp;"% GDP", 'Database.Jan 12 to SEC'!$AD$6:$AD$191, 0)), "")</f>
        <v/>
      </c>
      <c r="X21" s="881" t="str">
        <f>IF(ISNUMBER(INDEX('Database.Jan 12 to SEC'!$W$6:$W$191, MATCH($A21&amp;"% GDP", 'Database.Jan 12 to SEC'!$AD$6:$AD$191, 0))), INDEX('Database.Jan 12 to SEC'!$W$6:$W$191, MATCH($A21&amp;"% GDP", 'Database.Jan 12 to SEC'!$AD$6:$AD$191, 0)), "")</f>
        <v/>
      </c>
      <c r="Z21" s="898"/>
      <c r="AC21" s="562"/>
      <c r="AE21" s="764" t="s">
        <v>10</v>
      </c>
      <c r="AF21" s="839">
        <v>133.43721913654085</v>
      </c>
      <c r="AG21" s="833">
        <v>21.104767323819807</v>
      </c>
      <c r="AH21" s="833">
        <v>112.33245181272105</v>
      </c>
      <c r="AI21" s="833">
        <v>44.537266337766802</v>
      </c>
      <c r="AJ21" s="832"/>
      <c r="AK21" s="839">
        <v>88.861157270605275</v>
      </c>
      <c r="AL21" s="833">
        <v>15.498813503430172</v>
      </c>
      <c r="AM21" s="837"/>
      <c r="AN21" s="833" t="s">
        <v>452</v>
      </c>
      <c r="AO21" s="833">
        <v>73.362343767175105</v>
      </c>
      <c r="AP21" s="834"/>
      <c r="AQ21" s="834"/>
      <c r="AR21" s="839">
        <v>9.2362126130761357</v>
      </c>
      <c r="AS21" s="833">
        <v>1.460822695599191</v>
      </c>
      <c r="AT21" s="833">
        <v>7.7753899174769447</v>
      </c>
      <c r="AU21" s="833">
        <v>3.0827655414482935</v>
      </c>
      <c r="AV21" s="832"/>
      <c r="AW21" s="839">
        <v>6.1507617357903435</v>
      </c>
      <c r="AX21" s="833">
        <v>1.0727916670806561</v>
      </c>
      <c r="AY21" s="837"/>
      <c r="AZ21" s="833" t="s">
        <v>452</v>
      </c>
      <c r="BA21" s="833">
        <v>5.0779700687096874</v>
      </c>
    </row>
    <row r="22" spans="1:53">
      <c r="A22" s="764" t="s">
        <v>11</v>
      </c>
      <c r="B22" s="764" t="s">
        <v>11</v>
      </c>
      <c r="C22" s="917" t="str">
        <f>IF(ISNUMBER(INDEX('Database.Jan 12 to SEC'!$G$6:$G$191, MATCH($A22&amp;"USD bn", 'Database.Jan 12 to SEC'!$AD$6:$AD$191, 0))), INDEX('Database.Jan 12 to SEC'!$G$6:$G$191, MATCH($A22&amp;"USD bn", 'Database.Jan 12 to SEC'!$AD$6:$AD$191, 0)), "")</f>
        <v/>
      </c>
      <c r="D22" s="918" t="str">
        <f>IF(ISNUMBER(INDEX('Database.Jan 12 to SEC'!$H$6:$H$191, MATCH($A22&amp;"USD bn", 'Database.Jan 12 to SEC'!$AD$6:$AD$191, 0))), INDEX('Database.Jan 12 to SEC'!$H$6:$H$191, MATCH($A22&amp;"USD bn", 'Database.Jan 12 to SEC'!$AD$6:$AD$191, 0)), "")</f>
        <v/>
      </c>
      <c r="E22" s="918" t="str">
        <f>IF(ISNUMBER(INDEX('Database.Jan 12 to SEC'!$J$6:$J$191, MATCH($A22&amp;"USD bn", 'Database.Jan 12 to SEC'!$AD$6:$AD$191, 0))), INDEX('Database.Jan 12 to SEC'!$J$6:$J$191, MATCH($A22&amp;"USD bn", 'Database.Jan 12 to SEC'!$AD$6:$AD$191, 0)), "")</f>
        <v/>
      </c>
      <c r="F22" s="918" t="str">
        <f>IF(ISNUMBER(INDEX('Database.Jan 12 to SEC'!$L$6:$L$191, MATCH($A22&amp;"USD bn", 'Database.Jan 12 to SEC'!$AD$6:$AD$191, 0))), INDEX('Database.Jan 12 to SEC'!$L$6:$L$191, MATCH($A22&amp;"USD bn", 'Database.Jan 12 to SEC'!$AD$6:$AD$191, 0)), "")</f>
        <v/>
      </c>
      <c r="G22" s="918"/>
      <c r="H22" s="919" t="str">
        <f>IF(ISNUMBER(INDEX('Database.Jan 12 to SEC'!$P$6:$P$191, MATCH($A22&amp;"USD bn", 'Database.Jan 12 to SEC'!$AD$6:$AD$191, 0))), INDEX('Database.Jan 12 to SEC'!$P$6:$P$191, MATCH($A22&amp;"USD bn", 'Database.Jan 12 to SEC'!$AD$6:$AD$191, 0)), "")</f>
        <v/>
      </c>
      <c r="I22" s="918" t="str">
        <f>IF(ISNUMBER(INDEX('Database.Jan 12 to SEC'!$Q$6:$Q$191, MATCH($A22&amp;"USD bn", 'Database.Jan 12 to SEC'!$AD$6:$AD$191, 0))), INDEX('Database.Jan 12 to SEC'!$Q$6:$Q$191, MATCH($A22&amp;"USD bn", 'Database.Jan 12 to SEC'!$AD$6:$AD$191, 0)), "")</f>
        <v/>
      </c>
      <c r="J22" s="918"/>
      <c r="K22" s="918" t="str">
        <f>IF(ISNUMBER(INDEX('Database.Jan 12 to SEC'!$U$6:$U$191, MATCH($A22&amp;"USD bn", 'Database.Jan 12 to SEC'!$AD$6:$AD$191, 0))), INDEX('Database.Jan 12 to SEC'!$U$6:$U$191, MATCH($A22&amp;"USD bn", 'Database.Jan 12 to SEC'!$AD$6:$AD$191, 0)), "")</f>
        <v/>
      </c>
      <c r="L22" s="918" t="str">
        <f>IF(ISNUMBER(INDEX('Database.Jan 12 to SEC'!$W$6:$W$191, MATCH($A22&amp;"USD bn", 'Database.Jan 12 to SEC'!$AD$6:$AD$191, 0))), INDEX('Database.Jan 12 to SEC'!$W$6:$W$191, MATCH($A22&amp;"USD bn", 'Database.Jan 12 to SEC'!$AD$6:$AD$191, 0)), "")</f>
        <v/>
      </c>
      <c r="M22" s="885"/>
      <c r="N22" s="885"/>
      <c r="O22" s="882" t="str">
        <f>IF(ISNUMBER(INDEX('Database.Jan 12 to SEC'!$G$6:$G$191, MATCH($A22&amp;"% GDP", 'Database.Jan 12 to SEC'!$AD$6:$AD$191, 0))), INDEX('Database.Jan 12 to SEC'!$G$6:$G$191, MATCH($A22&amp;"% GDP", 'Database.Jan 12 to SEC'!$AD$6:$AD$191, 0)), "")</f>
        <v/>
      </c>
      <c r="P22" s="881" t="str">
        <f>IF(ISNUMBER(INDEX('Database.Jan 12 to SEC'!$H$6:$H$191, MATCH($A22&amp;"% GDP", 'Database.Jan 12 to SEC'!$AD$6:$AD$191, 0))), INDEX('Database.Jan 12 to SEC'!$H$6:$H$191, MATCH($A22&amp;"% GDP", 'Database.Jan 12 to SEC'!$AD$6:$AD$191, 0)), "")</f>
        <v/>
      </c>
      <c r="Q22" s="881" t="str">
        <f>IF(ISNUMBER(INDEX('Database.Jan 12 to SEC'!$J$6:$J$191, MATCH($A22&amp;"% GDP", 'Database.Jan 12 to SEC'!$AD$6:$AD$191, 0))), INDEX('Database.Jan 12 to SEC'!$J$6:$J$191, MATCH($A22&amp;"% GDP", 'Database.Jan 12 to SEC'!$AD$6:$AD$191, 0)), "")</f>
        <v/>
      </c>
      <c r="R22" s="881" t="str">
        <f>IF(ISNUMBER(INDEX('Database.Jan 12 to SEC'!$L$6:$L$191, MATCH($A22&amp;"% GDP", 'Database.Jan 12 to SEC'!$AD$6:$AD$191, 0))), INDEX('Database.Jan 12 to SEC'!$L$6:$L$191, MATCH($A22&amp;"% GDP", 'Database.Jan 12 to SEC'!$AD$6:$AD$191, 0)), "")</f>
        <v/>
      </c>
      <c r="S22" s="883"/>
      <c r="T22" s="882" t="str">
        <f>IF(ISNUMBER(INDEX('Database.Jan 12 to SEC'!$P$6:$P$191, MATCH($A22&amp;"% GDP", 'Database.Jan 12 to SEC'!$AD$6:$AD$191, 0))), INDEX('Database.Jan 12 to SEC'!$P$6:$P$191, MATCH($A22&amp;"% GDP", 'Database.Jan 12 to SEC'!$AD$6:$AD$191, 0)), "")</f>
        <v/>
      </c>
      <c r="U22" s="881" t="str">
        <f>IF(ISNUMBER(INDEX('Database.Jan 12 to SEC'!$Q$6:$Q$191, MATCH($A22&amp;"% GDP", 'Database.Jan 12 to SEC'!$AD$6:$AD$191, 0))), INDEX('Database.Jan 12 to SEC'!$Q$6:$Q$191, MATCH($A22&amp;"% GDP", 'Database.Jan 12 to SEC'!$AD$6:$AD$191, 0)), "")</f>
        <v/>
      </c>
      <c r="V22" s="884"/>
      <c r="W22" s="881" t="str">
        <f>IF(ISNUMBER(INDEX('Database.Jan 12 to SEC'!$U$6:$U$191, MATCH($A22&amp;"% GDP", 'Database.Jan 12 to SEC'!$AD$6:$AD$191, 0))), INDEX('Database.Jan 12 to SEC'!$U$6:$U$191, MATCH($A22&amp;"% GDP", 'Database.Jan 12 to SEC'!$AD$6:$AD$191, 0)), "")</f>
        <v/>
      </c>
      <c r="X22" s="881" t="str">
        <f>IF(ISNUMBER(INDEX('Database.Jan 12 to SEC'!$W$6:$W$191, MATCH($A22&amp;"% GDP", 'Database.Jan 12 to SEC'!$AD$6:$AD$191, 0))), INDEX('Database.Jan 12 to SEC'!$W$6:$W$191, MATCH($A22&amp;"% GDP", 'Database.Jan 12 to SEC'!$AD$6:$AD$191, 0)), "")</f>
        <v/>
      </c>
      <c r="Z22" s="898"/>
      <c r="AC22" s="562"/>
      <c r="AE22" s="764" t="s">
        <v>11</v>
      </c>
      <c r="AF22" s="839">
        <v>710.64739339926814</v>
      </c>
      <c r="AG22" s="833">
        <v>21.302032387783935</v>
      </c>
      <c r="AH22" s="833">
        <v>689.34536101148421</v>
      </c>
      <c r="AI22" s="833">
        <v>231.8588559214578</v>
      </c>
      <c r="AJ22" s="832"/>
      <c r="AK22" s="839">
        <v>192.73267398471179</v>
      </c>
      <c r="AL22" s="833" t="s">
        <v>452</v>
      </c>
      <c r="AM22" s="837"/>
      <c r="AN22" s="833">
        <v>57.964713980364451</v>
      </c>
      <c r="AO22" s="833">
        <v>134.76796000434734</v>
      </c>
      <c r="AP22" s="834"/>
      <c r="AQ22" s="834"/>
      <c r="AR22" s="839">
        <v>4.7801156546253365</v>
      </c>
      <c r="AS22" s="833">
        <v>0.14328650106646096</v>
      </c>
      <c r="AT22" s="833">
        <v>4.6368291535588755</v>
      </c>
      <c r="AU22" s="833">
        <v>1.5595809639886906</v>
      </c>
      <c r="AV22" s="832"/>
      <c r="AW22" s="839">
        <v>1.296401676315599</v>
      </c>
      <c r="AX22" s="833" t="s">
        <v>452</v>
      </c>
      <c r="AY22" s="837"/>
      <c r="AZ22" s="833">
        <v>0.38989524099717265</v>
      </c>
      <c r="BA22" s="833">
        <v>0.90650643531842645</v>
      </c>
    </row>
    <row r="23" spans="1:53">
      <c r="A23" s="764" t="s">
        <v>12</v>
      </c>
      <c r="B23" s="764" t="s">
        <v>12</v>
      </c>
      <c r="C23" s="917" t="str">
        <f>IF(ISNUMBER(INDEX('Database.Jan 12 to SEC'!$G$6:$G$191, MATCH($A23&amp;"USD bn", 'Database.Jan 12 to SEC'!$AD$6:$AD$191, 0))), INDEX('Database.Jan 12 to SEC'!$G$6:$G$191, MATCH($A23&amp;"USD bn", 'Database.Jan 12 to SEC'!$AD$6:$AD$191, 0)), "")</f>
        <v/>
      </c>
      <c r="D23" s="918" t="str">
        <f>IF(ISNUMBER(INDEX('Database.Jan 12 to SEC'!$H$6:$H$191, MATCH($A23&amp;"USD bn", 'Database.Jan 12 to SEC'!$AD$6:$AD$191, 0))), INDEX('Database.Jan 12 to SEC'!$H$6:$H$191, MATCH($A23&amp;"USD bn", 'Database.Jan 12 to SEC'!$AD$6:$AD$191, 0)), "")</f>
        <v/>
      </c>
      <c r="E23" s="918" t="str">
        <f>IF(ISNUMBER(INDEX('Database.Jan 12 to SEC'!$J$6:$J$191, MATCH($A23&amp;"USD bn", 'Database.Jan 12 to SEC'!$AD$6:$AD$191, 0))), INDEX('Database.Jan 12 to SEC'!$J$6:$J$191, MATCH($A23&amp;"USD bn", 'Database.Jan 12 to SEC'!$AD$6:$AD$191, 0)), "")</f>
        <v/>
      </c>
      <c r="F23" s="918" t="str">
        <f>IF(ISNUMBER(INDEX('Database.Jan 12 to SEC'!$L$6:$L$191, MATCH($A23&amp;"USD bn", 'Database.Jan 12 to SEC'!$AD$6:$AD$191, 0))), INDEX('Database.Jan 12 to SEC'!$L$6:$L$191, MATCH($A23&amp;"USD bn", 'Database.Jan 12 to SEC'!$AD$6:$AD$191, 0)), "")</f>
        <v/>
      </c>
      <c r="G23" s="918"/>
      <c r="H23" s="919" t="str">
        <f>IF(ISNUMBER(INDEX('Database.Jan 12 to SEC'!$P$6:$P$191, MATCH($A23&amp;"USD bn", 'Database.Jan 12 to SEC'!$AD$6:$AD$191, 0))), INDEX('Database.Jan 12 to SEC'!$P$6:$P$191, MATCH($A23&amp;"USD bn", 'Database.Jan 12 to SEC'!$AD$6:$AD$191, 0)), "")</f>
        <v/>
      </c>
      <c r="I23" s="918" t="str">
        <f>IF(ISNUMBER(INDEX('Database.Jan 12 to SEC'!$Q$6:$Q$191, MATCH($A23&amp;"USD bn", 'Database.Jan 12 to SEC'!$AD$6:$AD$191, 0))), INDEX('Database.Jan 12 to SEC'!$Q$6:$Q$191, MATCH($A23&amp;"USD bn", 'Database.Jan 12 to SEC'!$AD$6:$AD$191, 0)), "")</f>
        <v/>
      </c>
      <c r="J23" s="918"/>
      <c r="K23" s="918" t="str">
        <f>IF(ISNUMBER(INDEX('Database.Jan 12 to SEC'!$U$6:$U$191, MATCH($A23&amp;"USD bn", 'Database.Jan 12 to SEC'!$AD$6:$AD$191, 0))), INDEX('Database.Jan 12 to SEC'!$U$6:$U$191, MATCH($A23&amp;"USD bn", 'Database.Jan 12 to SEC'!$AD$6:$AD$191, 0)), "")</f>
        <v/>
      </c>
      <c r="L23" s="918" t="str">
        <f>IF(ISNUMBER(INDEX('Database.Jan 12 to SEC'!$W$6:$W$191, MATCH($A23&amp;"USD bn", 'Database.Jan 12 to SEC'!$AD$6:$AD$191, 0))), INDEX('Database.Jan 12 to SEC'!$W$6:$W$191, MATCH($A23&amp;"USD bn", 'Database.Jan 12 to SEC'!$AD$6:$AD$191, 0)), "")</f>
        <v/>
      </c>
      <c r="M23" s="885"/>
      <c r="N23" s="885"/>
      <c r="O23" s="882" t="str">
        <f>IF(ISNUMBER(INDEX('Database.Jan 12 to SEC'!$G$6:$G$191, MATCH($A23&amp;"% GDP", 'Database.Jan 12 to SEC'!$AD$6:$AD$191, 0))), INDEX('Database.Jan 12 to SEC'!$G$6:$G$191, MATCH($A23&amp;"% GDP", 'Database.Jan 12 to SEC'!$AD$6:$AD$191, 0)), "")</f>
        <v/>
      </c>
      <c r="P23" s="881" t="str">
        <f>IF(ISNUMBER(INDEX('Database.Jan 12 to SEC'!$H$6:$H$191, MATCH($A23&amp;"% GDP", 'Database.Jan 12 to SEC'!$AD$6:$AD$191, 0))), INDEX('Database.Jan 12 to SEC'!$H$6:$H$191, MATCH($A23&amp;"% GDP", 'Database.Jan 12 to SEC'!$AD$6:$AD$191, 0)), "")</f>
        <v/>
      </c>
      <c r="Q23" s="881" t="str">
        <f>IF(ISNUMBER(INDEX('Database.Jan 12 to SEC'!$J$6:$J$191, MATCH($A23&amp;"% GDP", 'Database.Jan 12 to SEC'!$AD$6:$AD$191, 0))), INDEX('Database.Jan 12 to SEC'!$J$6:$J$191, MATCH($A23&amp;"% GDP", 'Database.Jan 12 to SEC'!$AD$6:$AD$191, 0)), "")</f>
        <v/>
      </c>
      <c r="R23" s="881" t="str">
        <f>IF(ISNUMBER(INDEX('Database.Jan 12 to SEC'!$L$6:$L$191, MATCH($A23&amp;"% GDP", 'Database.Jan 12 to SEC'!$AD$6:$AD$191, 0))), INDEX('Database.Jan 12 to SEC'!$L$6:$L$191, MATCH($A23&amp;"% GDP", 'Database.Jan 12 to SEC'!$AD$6:$AD$191, 0)), "")</f>
        <v/>
      </c>
      <c r="S23" s="883"/>
      <c r="T23" s="882" t="str">
        <f>IF(ISNUMBER(INDEX('Database.Jan 12 to SEC'!$P$6:$P$191, MATCH($A23&amp;"% GDP", 'Database.Jan 12 to SEC'!$AD$6:$AD$191, 0))), INDEX('Database.Jan 12 to SEC'!$P$6:$P$191, MATCH($A23&amp;"% GDP", 'Database.Jan 12 to SEC'!$AD$6:$AD$191, 0)), "")</f>
        <v/>
      </c>
      <c r="U23" s="881" t="str">
        <f>IF(ISNUMBER(INDEX('Database.Jan 12 to SEC'!$Q$6:$Q$191, MATCH($A23&amp;"% GDP", 'Database.Jan 12 to SEC'!$AD$6:$AD$191, 0))), INDEX('Database.Jan 12 to SEC'!$Q$6:$Q$191, MATCH($A23&amp;"% GDP", 'Database.Jan 12 to SEC'!$AD$6:$AD$191, 0)), "")</f>
        <v/>
      </c>
      <c r="V23" s="884"/>
      <c r="W23" s="881" t="str">
        <f>IF(ISNUMBER(INDEX('Database.Jan 12 to SEC'!$U$6:$U$191, MATCH($A23&amp;"% GDP", 'Database.Jan 12 to SEC'!$AD$6:$AD$191, 0))), INDEX('Database.Jan 12 to SEC'!$U$6:$U$191, MATCH($A23&amp;"% GDP", 'Database.Jan 12 to SEC'!$AD$6:$AD$191, 0)), "")</f>
        <v/>
      </c>
      <c r="X23" s="881" t="str">
        <f>IF(ISNUMBER(INDEX('Database.Jan 12 to SEC'!$W$6:$W$191, MATCH($A23&amp;"% GDP", 'Database.Jan 12 to SEC'!$AD$6:$AD$191, 0))), INDEX('Database.Jan 12 to SEC'!$W$6:$W$191, MATCH($A23&amp;"% GDP", 'Database.Jan 12 to SEC'!$AD$6:$AD$191, 0)), "")</f>
        <v/>
      </c>
      <c r="Z23" s="898"/>
      <c r="AC23" s="562"/>
      <c r="AE23" s="764" t="s">
        <v>12</v>
      </c>
      <c r="AF23" s="839">
        <v>108.91796310307309</v>
      </c>
      <c r="AG23" s="833">
        <v>14.028015635197093</v>
      </c>
      <c r="AH23" s="833">
        <v>94.889947467875999</v>
      </c>
      <c r="AI23" s="833">
        <v>18.05320721758315</v>
      </c>
      <c r="AJ23" s="832"/>
      <c r="AK23" s="839">
        <v>165.59102232187649</v>
      </c>
      <c r="AL23" s="833">
        <v>8.6358998705005963</v>
      </c>
      <c r="AM23" s="837"/>
      <c r="AN23" s="833">
        <v>140.78807121174921</v>
      </c>
      <c r="AO23" s="833">
        <v>16.167051239626701</v>
      </c>
      <c r="AP23" s="834"/>
      <c r="AQ23" s="834"/>
      <c r="AR23" s="839">
        <v>4.0942849748831005</v>
      </c>
      <c r="AS23" s="833">
        <v>0.52732067334256061</v>
      </c>
      <c r="AT23" s="833">
        <v>3.5669643015405397</v>
      </c>
      <c r="AU23" s="833">
        <v>0.67862979579826865</v>
      </c>
      <c r="AV23" s="832"/>
      <c r="AW23" s="839">
        <v>6.2246558359377007</v>
      </c>
      <c r="AX23" s="833">
        <v>0.32462813366170912</v>
      </c>
      <c r="AY23" s="837"/>
      <c r="AZ23" s="833">
        <v>5.2922995269342588</v>
      </c>
      <c r="BA23" s="833">
        <v>0.60772817534173318</v>
      </c>
    </row>
    <row r="24" spans="1:53">
      <c r="A24" s="764" t="s">
        <v>13</v>
      </c>
      <c r="B24" s="764" t="s">
        <v>13</v>
      </c>
      <c r="C24" s="917" t="str">
        <f>IF(ISNUMBER(INDEX('Database.Jan 12 to SEC'!$G$6:$G$191, MATCH($A24&amp;"USD bn", 'Database.Jan 12 to SEC'!$AD$6:$AD$191, 0))), INDEX('Database.Jan 12 to SEC'!$G$6:$G$191, MATCH($A24&amp;"USD bn", 'Database.Jan 12 to SEC'!$AD$6:$AD$191, 0)), "")</f>
        <v/>
      </c>
      <c r="D24" s="918" t="str">
        <f>IF(ISNUMBER(INDEX('Database.Jan 12 to SEC'!$H$6:$H$191, MATCH($A24&amp;"USD bn", 'Database.Jan 12 to SEC'!$AD$6:$AD$191, 0))), INDEX('Database.Jan 12 to SEC'!$H$6:$H$191, MATCH($A24&amp;"USD bn", 'Database.Jan 12 to SEC'!$AD$6:$AD$191, 0)), "")</f>
        <v/>
      </c>
      <c r="E24" s="918" t="str">
        <f>IF(ISNUMBER(INDEX('Database.Jan 12 to SEC'!$J$6:$J$191, MATCH($A24&amp;"USD bn", 'Database.Jan 12 to SEC'!$AD$6:$AD$191, 0))), INDEX('Database.Jan 12 to SEC'!$J$6:$J$191, MATCH($A24&amp;"USD bn", 'Database.Jan 12 to SEC'!$AD$6:$AD$191, 0)), "")</f>
        <v/>
      </c>
      <c r="F24" s="918" t="str">
        <f>IF(ISNUMBER(INDEX('Database.Jan 12 to SEC'!$L$6:$L$191, MATCH($A24&amp;"USD bn", 'Database.Jan 12 to SEC'!$AD$6:$AD$191, 0))), INDEX('Database.Jan 12 to SEC'!$L$6:$L$191, MATCH($A24&amp;"USD bn", 'Database.Jan 12 to SEC'!$AD$6:$AD$191, 0)), "")</f>
        <v/>
      </c>
      <c r="G24" s="918"/>
      <c r="H24" s="919" t="str">
        <f>IF(ISNUMBER(INDEX('Database.Jan 12 to SEC'!$P$6:$P$191, MATCH($A24&amp;"USD bn", 'Database.Jan 12 to SEC'!$AD$6:$AD$191, 0))), INDEX('Database.Jan 12 to SEC'!$P$6:$P$191, MATCH($A24&amp;"USD bn", 'Database.Jan 12 to SEC'!$AD$6:$AD$191, 0)), "")</f>
        <v/>
      </c>
      <c r="I24" s="918" t="str">
        <f>IF(ISNUMBER(INDEX('Database.Jan 12 to SEC'!$Q$6:$Q$191, MATCH($A24&amp;"USD bn", 'Database.Jan 12 to SEC'!$AD$6:$AD$191, 0))), INDEX('Database.Jan 12 to SEC'!$Q$6:$Q$191, MATCH($A24&amp;"USD bn", 'Database.Jan 12 to SEC'!$AD$6:$AD$191, 0)), "")</f>
        <v/>
      </c>
      <c r="J24" s="918"/>
      <c r="K24" s="918" t="str">
        <f>IF(ISNUMBER(INDEX('Database.Jan 12 to SEC'!$U$6:$U$191, MATCH($A24&amp;"USD bn", 'Database.Jan 12 to SEC'!$AD$6:$AD$191, 0))), INDEX('Database.Jan 12 to SEC'!$U$6:$U$191, MATCH($A24&amp;"USD bn", 'Database.Jan 12 to SEC'!$AD$6:$AD$191, 0)), "")</f>
        <v/>
      </c>
      <c r="L24" s="918" t="str">
        <f>IF(ISNUMBER(INDEX('Database.Jan 12 to SEC'!$W$6:$W$191, MATCH($A24&amp;"USD bn", 'Database.Jan 12 to SEC'!$AD$6:$AD$191, 0))), INDEX('Database.Jan 12 to SEC'!$W$6:$W$191, MATCH($A24&amp;"USD bn", 'Database.Jan 12 to SEC'!$AD$6:$AD$191, 0)), "")</f>
        <v/>
      </c>
      <c r="M24" s="885"/>
      <c r="N24" s="885"/>
      <c r="O24" s="882" t="str">
        <f>IF(ISNUMBER(INDEX('Database.Jan 12 to SEC'!$G$6:$G$191, MATCH($A24&amp;"% GDP", 'Database.Jan 12 to SEC'!$AD$6:$AD$191, 0))), INDEX('Database.Jan 12 to SEC'!$G$6:$G$191, MATCH($A24&amp;"% GDP", 'Database.Jan 12 to SEC'!$AD$6:$AD$191, 0)), "")</f>
        <v/>
      </c>
      <c r="P24" s="881" t="str">
        <f>IF(ISNUMBER(INDEX('Database.Jan 12 to SEC'!$H$6:$H$191, MATCH($A24&amp;"% GDP", 'Database.Jan 12 to SEC'!$AD$6:$AD$191, 0))), INDEX('Database.Jan 12 to SEC'!$H$6:$H$191, MATCH($A24&amp;"% GDP", 'Database.Jan 12 to SEC'!$AD$6:$AD$191, 0)), "")</f>
        <v/>
      </c>
      <c r="Q24" s="881" t="str">
        <f>IF(ISNUMBER(INDEX('Database.Jan 12 to SEC'!$J$6:$J$191, MATCH($A24&amp;"% GDP", 'Database.Jan 12 to SEC'!$AD$6:$AD$191, 0))), INDEX('Database.Jan 12 to SEC'!$J$6:$J$191, MATCH($A24&amp;"% GDP", 'Database.Jan 12 to SEC'!$AD$6:$AD$191, 0)), "")</f>
        <v/>
      </c>
      <c r="R24" s="881" t="str">
        <f>IF(ISNUMBER(INDEX('Database.Jan 12 to SEC'!$L$6:$L$191, MATCH($A24&amp;"% GDP", 'Database.Jan 12 to SEC'!$AD$6:$AD$191, 0))), INDEX('Database.Jan 12 to SEC'!$L$6:$L$191, MATCH($A24&amp;"% GDP", 'Database.Jan 12 to SEC'!$AD$6:$AD$191, 0)), "")</f>
        <v/>
      </c>
      <c r="S24" s="883"/>
      <c r="T24" s="882" t="str">
        <f>IF(ISNUMBER(INDEX('Database.Jan 12 to SEC'!$P$6:$P$191, MATCH($A24&amp;"% GDP", 'Database.Jan 12 to SEC'!$AD$6:$AD$191, 0))), INDEX('Database.Jan 12 to SEC'!$P$6:$P$191, MATCH($A24&amp;"% GDP", 'Database.Jan 12 to SEC'!$AD$6:$AD$191, 0)), "")</f>
        <v/>
      </c>
      <c r="U24" s="881" t="str">
        <f>IF(ISNUMBER(INDEX('Database.Jan 12 to SEC'!$Q$6:$Q$191, MATCH($A24&amp;"% GDP", 'Database.Jan 12 to SEC'!$AD$6:$AD$191, 0))), INDEX('Database.Jan 12 to SEC'!$Q$6:$Q$191, MATCH($A24&amp;"% GDP", 'Database.Jan 12 to SEC'!$AD$6:$AD$191, 0)), "")</f>
        <v/>
      </c>
      <c r="V24" s="884"/>
      <c r="W24" s="881" t="str">
        <f>IF(ISNUMBER(INDEX('Database.Jan 12 to SEC'!$U$6:$U$191, MATCH($A24&amp;"% GDP", 'Database.Jan 12 to SEC'!$AD$6:$AD$191, 0))), INDEX('Database.Jan 12 to SEC'!$U$6:$U$191, MATCH($A24&amp;"% GDP", 'Database.Jan 12 to SEC'!$AD$6:$AD$191, 0)), "")</f>
        <v/>
      </c>
      <c r="X24" s="881" t="str">
        <f>IF(ISNUMBER(INDEX('Database.Jan 12 to SEC'!$W$6:$W$191, MATCH($A24&amp;"% GDP", 'Database.Jan 12 to SEC'!$AD$6:$AD$191, 0))), INDEX('Database.Jan 12 to SEC'!$W$6:$W$191, MATCH($A24&amp;"% GDP", 'Database.Jan 12 to SEC'!$AD$6:$AD$191, 0)), "")</f>
        <v/>
      </c>
      <c r="Z24" s="898"/>
      <c r="AC24" s="562"/>
      <c r="AE24" s="764" t="s">
        <v>13</v>
      </c>
      <c r="AF24" s="839">
        <v>98.860320620644671</v>
      </c>
      <c r="AG24" s="833">
        <v>21.588685592667606</v>
      </c>
      <c r="AH24" s="833">
        <v>77.271635027977069</v>
      </c>
      <c r="AI24" s="833" t="s">
        <v>452</v>
      </c>
      <c r="AJ24" s="832"/>
      <c r="AK24" s="839">
        <v>9.2787751879441149</v>
      </c>
      <c r="AL24" s="833">
        <v>2.4132367580927534</v>
      </c>
      <c r="AM24" s="837"/>
      <c r="AN24" s="833">
        <v>6.8655384298513615</v>
      </c>
      <c r="AO24" s="833" t="s">
        <v>452</v>
      </c>
      <c r="AP24" s="834"/>
      <c r="AQ24" s="834"/>
      <c r="AR24" s="839">
        <v>9.3296348167315557</v>
      </c>
      <c r="AS24" s="833">
        <v>2.037364955811825</v>
      </c>
      <c r="AT24" s="833">
        <v>7.2922698609197312</v>
      </c>
      <c r="AU24" s="833" t="s">
        <v>452</v>
      </c>
      <c r="AV24" s="832"/>
      <c r="AW24" s="839">
        <v>0.87565550573371964</v>
      </c>
      <c r="AX24" s="833">
        <v>0.22774170200917679</v>
      </c>
      <c r="AY24" s="837"/>
      <c r="AZ24" s="833">
        <v>0.64791380372454288</v>
      </c>
      <c r="BA24" s="833" t="s">
        <v>452</v>
      </c>
    </row>
    <row r="25" spans="1:53">
      <c r="A25" s="764" t="s">
        <v>14</v>
      </c>
      <c r="B25" s="764" t="s">
        <v>14</v>
      </c>
      <c r="C25" s="917" t="str">
        <f>IF(ISNUMBER(INDEX('Database.Jan 12 to SEC'!$G$6:$G$191, MATCH($A25&amp;"USD bn", 'Database.Jan 12 to SEC'!$AD$6:$AD$191, 0))), INDEX('Database.Jan 12 to SEC'!$G$6:$G$191, MATCH($A25&amp;"USD bn", 'Database.Jan 12 to SEC'!$AD$6:$AD$191, 0)), "")</f>
        <v/>
      </c>
      <c r="D25" s="918" t="str">
        <f>IF(ISNUMBER(INDEX('Database.Jan 12 to SEC'!$H$6:$H$191, MATCH($A25&amp;"USD bn", 'Database.Jan 12 to SEC'!$AD$6:$AD$191, 0))), INDEX('Database.Jan 12 to SEC'!$H$6:$H$191, MATCH($A25&amp;"USD bn", 'Database.Jan 12 to SEC'!$AD$6:$AD$191, 0)), "")</f>
        <v/>
      </c>
      <c r="E25" s="918" t="str">
        <f>IF(ISNUMBER(INDEX('Database.Jan 12 to SEC'!$J$6:$J$191, MATCH($A25&amp;"USD bn", 'Database.Jan 12 to SEC'!$AD$6:$AD$191, 0))), INDEX('Database.Jan 12 to SEC'!$J$6:$J$191, MATCH($A25&amp;"USD bn", 'Database.Jan 12 to SEC'!$AD$6:$AD$191, 0)), "")</f>
        <v/>
      </c>
      <c r="F25" s="918" t="str">
        <f>IF(ISNUMBER(INDEX('Database.Jan 12 to SEC'!$L$6:$L$191, MATCH($A25&amp;"USD bn", 'Database.Jan 12 to SEC'!$AD$6:$AD$191, 0))), INDEX('Database.Jan 12 to SEC'!$L$6:$L$191, MATCH($A25&amp;"USD bn", 'Database.Jan 12 to SEC'!$AD$6:$AD$191, 0)), "")</f>
        <v/>
      </c>
      <c r="G25" s="918"/>
      <c r="H25" s="919" t="str">
        <f>IF(ISNUMBER(INDEX('Database.Jan 12 to SEC'!$P$6:$P$191, MATCH($A25&amp;"USD bn", 'Database.Jan 12 to SEC'!$AD$6:$AD$191, 0))), INDEX('Database.Jan 12 to SEC'!$P$6:$P$191, MATCH($A25&amp;"USD bn", 'Database.Jan 12 to SEC'!$AD$6:$AD$191, 0)), "")</f>
        <v/>
      </c>
      <c r="I25" s="918" t="str">
        <f>IF(ISNUMBER(INDEX('Database.Jan 12 to SEC'!$Q$6:$Q$191, MATCH($A25&amp;"USD bn", 'Database.Jan 12 to SEC'!$AD$6:$AD$191, 0))), INDEX('Database.Jan 12 to SEC'!$Q$6:$Q$191, MATCH($A25&amp;"USD bn", 'Database.Jan 12 to SEC'!$AD$6:$AD$191, 0)), "")</f>
        <v/>
      </c>
      <c r="J25" s="918"/>
      <c r="K25" s="918" t="str">
        <f>IF(ISNUMBER(INDEX('Database.Jan 12 to SEC'!$U$6:$U$191, MATCH($A25&amp;"USD bn", 'Database.Jan 12 to SEC'!$AD$6:$AD$191, 0))), INDEX('Database.Jan 12 to SEC'!$U$6:$U$191, MATCH($A25&amp;"USD bn", 'Database.Jan 12 to SEC'!$AD$6:$AD$191, 0)), "")</f>
        <v/>
      </c>
      <c r="L25" s="918" t="str">
        <f>IF(ISNUMBER(INDEX('Database.Jan 12 to SEC'!$W$6:$W$191, MATCH($A25&amp;"USD bn", 'Database.Jan 12 to SEC'!$AD$6:$AD$191, 0))), INDEX('Database.Jan 12 to SEC'!$W$6:$W$191, MATCH($A25&amp;"USD bn", 'Database.Jan 12 to SEC'!$AD$6:$AD$191, 0)), "")</f>
        <v/>
      </c>
      <c r="M25" s="885"/>
      <c r="N25" s="885"/>
      <c r="O25" s="882" t="str">
        <f>IF(ISNUMBER(INDEX('Database.Jan 12 to SEC'!$G$6:$G$191, MATCH($A25&amp;"% GDP", 'Database.Jan 12 to SEC'!$AD$6:$AD$191, 0))), INDEX('Database.Jan 12 to SEC'!$G$6:$G$191, MATCH($A25&amp;"% GDP", 'Database.Jan 12 to SEC'!$AD$6:$AD$191, 0)), "")</f>
        <v/>
      </c>
      <c r="P25" s="881" t="str">
        <f>IF(ISNUMBER(INDEX('Database.Jan 12 to SEC'!$H$6:$H$191, MATCH($A25&amp;"% GDP", 'Database.Jan 12 to SEC'!$AD$6:$AD$191, 0))), INDEX('Database.Jan 12 to SEC'!$H$6:$H$191, MATCH($A25&amp;"% GDP", 'Database.Jan 12 to SEC'!$AD$6:$AD$191, 0)), "")</f>
        <v/>
      </c>
      <c r="Q25" s="881" t="str">
        <f>IF(ISNUMBER(INDEX('Database.Jan 12 to SEC'!$J$6:$J$191, MATCH($A25&amp;"% GDP", 'Database.Jan 12 to SEC'!$AD$6:$AD$191, 0))), INDEX('Database.Jan 12 to SEC'!$J$6:$J$191, MATCH($A25&amp;"% GDP", 'Database.Jan 12 to SEC'!$AD$6:$AD$191, 0)), "")</f>
        <v/>
      </c>
      <c r="R25" s="881" t="str">
        <f>IF(ISNUMBER(INDEX('Database.Jan 12 to SEC'!$L$6:$L$191, MATCH($A25&amp;"% GDP", 'Database.Jan 12 to SEC'!$AD$6:$AD$191, 0))), INDEX('Database.Jan 12 to SEC'!$L$6:$L$191, MATCH($A25&amp;"% GDP", 'Database.Jan 12 to SEC'!$AD$6:$AD$191, 0)), "")</f>
        <v/>
      </c>
      <c r="S25" s="883"/>
      <c r="T25" s="882" t="str">
        <f>IF(ISNUMBER(INDEX('Database.Jan 12 to SEC'!$P$6:$P$191, MATCH($A25&amp;"% GDP", 'Database.Jan 12 to SEC'!$AD$6:$AD$191, 0))), INDEX('Database.Jan 12 to SEC'!$P$6:$P$191, MATCH($A25&amp;"% GDP", 'Database.Jan 12 to SEC'!$AD$6:$AD$191, 0)), "")</f>
        <v/>
      </c>
      <c r="U25" s="881" t="str">
        <f>IF(ISNUMBER(INDEX('Database.Jan 12 to SEC'!$Q$6:$Q$191, MATCH($A25&amp;"% GDP", 'Database.Jan 12 to SEC'!$AD$6:$AD$191, 0))), INDEX('Database.Jan 12 to SEC'!$Q$6:$Q$191, MATCH($A25&amp;"% GDP", 'Database.Jan 12 to SEC'!$AD$6:$AD$191, 0)), "")</f>
        <v/>
      </c>
      <c r="V25" s="884"/>
      <c r="W25" s="881" t="str">
        <f>IF(ISNUMBER(INDEX('Database.Jan 12 to SEC'!$U$6:$U$191, MATCH($A25&amp;"% GDP", 'Database.Jan 12 to SEC'!$AD$6:$AD$191, 0))), INDEX('Database.Jan 12 to SEC'!$U$6:$U$191, MATCH($A25&amp;"% GDP", 'Database.Jan 12 to SEC'!$AD$6:$AD$191, 0)), "")</f>
        <v/>
      </c>
      <c r="X25" s="881" t="str">
        <f>IF(ISNUMBER(INDEX('Database.Jan 12 to SEC'!$W$6:$W$191, MATCH($A25&amp;"% GDP", 'Database.Jan 12 to SEC'!$AD$6:$AD$191, 0))), INDEX('Database.Jan 12 to SEC'!$W$6:$W$191, MATCH($A25&amp;"% GDP", 'Database.Jan 12 to SEC'!$AD$6:$AD$191, 0)), "")</f>
        <v/>
      </c>
      <c r="Z25" s="898"/>
      <c r="AC25" s="562"/>
      <c r="AE25" s="764" t="s">
        <v>14</v>
      </c>
      <c r="AF25" s="839">
        <v>7.0279601888550927</v>
      </c>
      <c r="AG25" s="833">
        <v>4.8032151754294405</v>
      </c>
      <c r="AH25" s="833">
        <v>2.2247450134256521</v>
      </c>
      <c r="AI25" s="833">
        <v>4.2819360091037648</v>
      </c>
      <c r="AJ25" s="832"/>
      <c r="AK25" s="839">
        <v>12.859770862123591</v>
      </c>
      <c r="AL25" s="833">
        <v>0.89362142798687272</v>
      </c>
      <c r="AM25" s="837"/>
      <c r="AN25" s="833">
        <v>0.17686257428906854</v>
      </c>
      <c r="AO25" s="833">
        <v>11.78928685984765</v>
      </c>
      <c r="AP25" s="834"/>
      <c r="AQ25" s="834"/>
      <c r="AR25" s="839">
        <v>0.65442396745349374</v>
      </c>
      <c r="AS25" s="833">
        <v>0.44726194331920904</v>
      </c>
      <c r="AT25" s="833">
        <v>0.20716202413428469</v>
      </c>
      <c r="AU25" s="833">
        <v>0.39872188745510878</v>
      </c>
      <c r="AV25" s="832"/>
      <c r="AW25" s="839">
        <v>1.1974658424331148</v>
      </c>
      <c r="AX25" s="833">
        <v>8.3211524338457493E-2</v>
      </c>
      <c r="AY25" s="837"/>
      <c r="AZ25" s="833">
        <v>1.6468947525319709E-2</v>
      </c>
      <c r="BA25" s="833">
        <v>1.0977853705693377</v>
      </c>
    </row>
    <row r="26" spans="1:53">
      <c r="A26" s="764" t="s">
        <v>15</v>
      </c>
      <c r="B26" s="764" t="s">
        <v>15</v>
      </c>
      <c r="C26" s="917" t="str">
        <f>IF(ISNUMBER(INDEX('Database.Jan 12 to SEC'!$G$6:$G$191, MATCH($A26&amp;"USD bn", 'Database.Jan 12 to SEC'!$AD$6:$AD$191, 0))), INDEX('Database.Jan 12 to SEC'!$G$6:$G$191, MATCH($A26&amp;"USD bn", 'Database.Jan 12 to SEC'!$AD$6:$AD$191, 0)), "")</f>
        <v/>
      </c>
      <c r="D26" s="918" t="str">
        <f>IF(ISNUMBER(INDEX('Database.Jan 12 to SEC'!$H$6:$H$191, MATCH($A26&amp;"USD bn", 'Database.Jan 12 to SEC'!$AD$6:$AD$191, 0))), INDEX('Database.Jan 12 to SEC'!$H$6:$H$191, MATCH($A26&amp;"USD bn", 'Database.Jan 12 to SEC'!$AD$6:$AD$191, 0)), "")</f>
        <v/>
      </c>
      <c r="E26" s="918" t="str">
        <f>IF(ISNUMBER(INDEX('Database.Jan 12 to SEC'!$J$6:$J$191, MATCH($A26&amp;"USD bn", 'Database.Jan 12 to SEC'!$AD$6:$AD$191, 0))), INDEX('Database.Jan 12 to SEC'!$J$6:$J$191, MATCH($A26&amp;"USD bn", 'Database.Jan 12 to SEC'!$AD$6:$AD$191, 0)), "")</f>
        <v/>
      </c>
      <c r="F26" s="918" t="str">
        <f>IF(ISNUMBER(INDEX('Database.Jan 12 to SEC'!$L$6:$L$191, MATCH($A26&amp;"USD bn", 'Database.Jan 12 to SEC'!$AD$6:$AD$191, 0))), INDEX('Database.Jan 12 to SEC'!$L$6:$L$191, MATCH($A26&amp;"USD bn", 'Database.Jan 12 to SEC'!$AD$6:$AD$191, 0)), "")</f>
        <v/>
      </c>
      <c r="G26" s="918"/>
      <c r="H26" s="919" t="str">
        <f>IF(ISNUMBER(INDEX('Database.Jan 12 to SEC'!$P$6:$P$191, MATCH($A26&amp;"USD bn", 'Database.Jan 12 to SEC'!$AD$6:$AD$191, 0))), INDEX('Database.Jan 12 to SEC'!$P$6:$P$191, MATCH($A26&amp;"USD bn", 'Database.Jan 12 to SEC'!$AD$6:$AD$191, 0)), "")</f>
        <v/>
      </c>
      <c r="I26" s="918" t="str">
        <f>IF(ISNUMBER(INDEX('Database.Jan 12 to SEC'!$Q$6:$Q$191, MATCH($A26&amp;"USD bn", 'Database.Jan 12 to SEC'!$AD$6:$AD$191, 0))), INDEX('Database.Jan 12 to SEC'!$Q$6:$Q$191, MATCH($A26&amp;"USD bn", 'Database.Jan 12 to SEC'!$AD$6:$AD$191, 0)), "")</f>
        <v/>
      </c>
      <c r="J26" s="918"/>
      <c r="K26" s="918" t="str">
        <f>IF(ISNUMBER(INDEX('Database.Jan 12 to SEC'!$U$6:$U$191, MATCH($A26&amp;"USD bn", 'Database.Jan 12 to SEC'!$AD$6:$AD$191, 0))), INDEX('Database.Jan 12 to SEC'!$U$6:$U$191, MATCH($A26&amp;"USD bn", 'Database.Jan 12 to SEC'!$AD$6:$AD$191, 0)), "")</f>
        <v/>
      </c>
      <c r="L26" s="918" t="str">
        <f>IF(ISNUMBER(INDEX('Database.Jan 12 to SEC'!$W$6:$W$191, MATCH($A26&amp;"USD bn", 'Database.Jan 12 to SEC'!$AD$6:$AD$191, 0))), INDEX('Database.Jan 12 to SEC'!$W$6:$W$191, MATCH($A26&amp;"USD bn", 'Database.Jan 12 to SEC'!$AD$6:$AD$191, 0)), "")</f>
        <v/>
      </c>
      <c r="M26" s="885"/>
      <c r="N26" s="885"/>
      <c r="O26" s="882" t="str">
        <f>IF(ISNUMBER(INDEX('Database.Jan 12 to SEC'!$G$6:$G$191, MATCH($A26&amp;"% GDP", 'Database.Jan 12 to SEC'!$AD$6:$AD$191, 0))), INDEX('Database.Jan 12 to SEC'!$G$6:$G$191, MATCH($A26&amp;"% GDP", 'Database.Jan 12 to SEC'!$AD$6:$AD$191, 0)), "")</f>
        <v/>
      </c>
      <c r="P26" s="881" t="str">
        <f>IF(ISNUMBER(INDEX('Database.Jan 12 to SEC'!$H$6:$H$191, MATCH($A26&amp;"% GDP", 'Database.Jan 12 to SEC'!$AD$6:$AD$191, 0))), INDEX('Database.Jan 12 to SEC'!$H$6:$H$191, MATCH($A26&amp;"% GDP", 'Database.Jan 12 to SEC'!$AD$6:$AD$191, 0)), "")</f>
        <v/>
      </c>
      <c r="Q26" s="881" t="str">
        <f>IF(ISNUMBER(INDEX('Database.Jan 12 to SEC'!$J$6:$J$191, MATCH($A26&amp;"% GDP", 'Database.Jan 12 to SEC'!$AD$6:$AD$191, 0))), INDEX('Database.Jan 12 to SEC'!$J$6:$J$191, MATCH($A26&amp;"% GDP", 'Database.Jan 12 to SEC'!$AD$6:$AD$191, 0)), "")</f>
        <v/>
      </c>
      <c r="R26" s="881" t="str">
        <f>IF(ISNUMBER(INDEX('Database.Jan 12 to SEC'!$L$6:$L$191, MATCH($A26&amp;"% GDP", 'Database.Jan 12 to SEC'!$AD$6:$AD$191, 0))), INDEX('Database.Jan 12 to SEC'!$L$6:$L$191, MATCH($A26&amp;"% GDP", 'Database.Jan 12 to SEC'!$AD$6:$AD$191, 0)), "")</f>
        <v/>
      </c>
      <c r="S26" s="883"/>
      <c r="T26" s="882" t="str">
        <f>IF(ISNUMBER(INDEX('Database.Jan 12 to SEC'!$P$6:$P$191, MATCH($A26&amp;"% GDP", 'Database.Jan 12 to SEC'!$AD$6:$AD$191, 0))), INDEX('Database.Jan 12 to SEC'!$P$6:$P$191, MATCH($A26&amp;"% GDP", 'Database.Jan 12 to SEC'!$AD$6:$AD$191, 0)), "")</f>
        <v/>
      </c>
      <c r="U26" s="881" t="str">
        <f>IF(ISNUMBER(INDEX('Database.Jan 12 to SEC'!$Q$6:$Q$191, MATCH($A26&amp;"% GDP", 'Database.Jan 12 to SEC'!$AD$6:$AD$191, 0))), INDEX('Database.Jan 12 to SEC'!$Q$6:$Q$191, MATCH($A26&amp;"% GDP", 'Database.Jan 12 to SEC'!$AD$6:$AD$191, 0)), "")</f>
        <v/>
      </c>
      <c r="V26" s="884"/>
      <c r="W26" s="881" t="str">
        <f>IF(ISNUMBER(INDEX('Database.Jan 12 to SEC'!$U$6:$U$191, MATCH($A26&amp;"% GDP", 'Database.Jan 12 to SEC'!$AD$6:$AD$191, 0))), INDEX('Database.Jan 12 to SEC'!$U$6:$U$191, MATCH($A26&amp;"% GDP", 'Database.Jan 12 to SEC'!$AD$6:$AD$191, 0)), "")</f>
        <v/>
      </c>
      <c r="X26" s="881" t="str">
        <f>IF(ISNUMBER(INDEX('Database.Jan 12 to SEC'!$W$6:$W$191, MATCH($A26&amp;"% GDP", 'Database.Jan 12 to SEC'!$AD$6:$AD$191, 0))), INDEX('Database.Jan 12 to SEC'!$W$6:$W$191, MATCH($A26&amp;"% GDP", 'Database.Jan 12 to SEC'!$AD$6:$AD$191, 0)), "")</f>
        <v/>
      </c>
      <c r="Z26" s="898"/>
      <c r="AC26" s="562"/>
      <c r="AE26" s="764" t="s">
        <v>15</v>
      </c>
      <c r="AF26" s="839">
        <v>74.006320564062733</v>
      </c>
      <c r="AG26" s="833">
        <v>10.712532393938853</v>
      </c>
      <c r="AH26" s="833">
        <v>63.293788170123882</v>
      </c>
      <c r="AI26" s="833">
        <v>6.3584063241443518</v>
      </c>
      <c r="AJ26" s="832"/>
      <c r="AK26" s="839">
        <v>21.660049369422172</v>
      </c>
      <c r="AL26" s="833">
        <v>7.837426925630103</v>
      </c>
      <c r="AM26" s="837"/>
      <c r="AN26" s="833">
        <v>6.9113112218960344</v>
      </c>
      <c r="AO26" s="833">
        <v>6.9113112218960344</v>
      </c>
      <c r="AP26" s="834"/>
      <c r="AQ26" s="834"/>
      <c r="AR26" s="839">
        <v>5.0052604782800296</v>
      </c>
      <c r="AS26" s="833">
        <v>0.72451940057284703</v>
      </c>
      <c r="AT26" s="833">
        <v>4.2807410777071828</v>
      </c>
      <c r="AU26" s="833">
        <v>0.43003732163033498</v>
      </c>
      <c r="AV26" s="832"/>
      <c r="AW26" s="839">
        <v>1.464931484771163</v>
      </c>
      <c r="AX26" s="833">
        <v>0.53006774209652163</v>
      </c>
      <c r="AY26" s="837"/>
      <c r="AZ26" s="833">
        <v>0.46743187133732073</v>
      </c>
      <c r="BA26" s="833">
        <v>0.46743187133732073</v>
      </c>
    </row>
    <row r="27" spans="1:53">
      <c r="A27" s="764" t="s">
        <v>16</v>
      </c>
      <c r="B27" s="764" t="s">
        <v>16</v>
      </c>
      <c r="C27" s="917" t="str">
        <f>IF(ISNUMBER(INDEX('Database.Jan 12 to SEC'!$G$6:$G$191, MATCH($A27&amp;"USD bn", 'Database.Jan 12 to SEC'!$AD$6:$AD$191, 0))), INDEX('Database.Jan 12 to SEC'!$G$6:$G$191, MATCH($A27&amp;"USD bn", 'Database.Jan 12 to SEC'!$AD$6:$AD$191, 0)), "")</f>
        <v/>
      </c>
      <c r="D27" s="918" t="str">
        <f>IF(ISNUMBER(INDEX('Database.Jan 12 to SEC'!$H$6:$H$191, MATCH($A27&amp;"USD bn", 'Database.Jan 12 to SEC'!$AD$6:$AD$191, 0))), INDEX('Database.Jan 12 to SEC'!$H$6:$H$191, MATCH($A27&amp;"USD bn", 'Database.Jan 12 to SEC'!$AD$6:$AD$191, 0)), "")</f>
        <v/>
      </c>
      <c r="E27" s="918" t="str">
        <f>IF(ISNUMBER(INDEX('Database.Jan 12 to SEC'!$J$6:$J$191, MATCH($A27&amp;"USD bn", 'Database.Jan 12 to SEC'!$AD$6:$AD$191, 0))), INDEX('Database.Jan 12 to SEC'!$J$6:$J$191, MATCH($A27&amp;"USD bn", 'Database.Jan 12 to SEC'!$AD$6:$AD$191, 0)), "")</f>
        <v/>
      </c>
      <c r="F27" s="918" t="str">
        <f>IF(ISNUMBER(INDEX('Database.Jan 12 to SEC'!$L$6:$L$191, MATCH($A27&amp;"USD bn", 'Database.Jan 12 to SEC'!$AD$6:$AD$191, 0))), INDEX('Database.Jan 12 to SEC'!$L$6:$L$191, MATCH($A27&amp;"USD bn", 'Database.Jan 12 to SEC'!$AD$6:$AD$191, 0)), "")</f>
        <v/>
      </c>
      <c r="G27" s="918"/>
      <c r="H27" s="919" t="str">
        <f>IF(ISNUMBER(INDEX('Database.Jan 12 to SEC'!$P$6:$P$191, MATCH($A27&amp;"USD bn", 'Database.Jan 12 to SEC'!$AD$6:$AD$191, 0))), INDEX('Database.Jan 12 to SEC'!$P$6:$P$191, MATCH($A27&amp;"USD bn", 'Database.Jan 12 to SEC'!$AD$6:$AD$191, 0)), "")</f>
        <v/>
      </c>
      <c r="I27" s="918" t="str">
        <f>IF(ISNUMBER(INDEX('Database.Jan 12 to SEC'!$Q$6:$Q$191, MATCH($A27&amp;"USD bn", 'Database.Jan 12 to SEC'!$AD$6:$AD$191, 0))), INDEX('Database.Jan 12 to SEC'!$Q$6:$Q$191, MATCH($A27&amp;"USD bn", 'Database.Jan 12 to SEC'!$AD$6:$AD$191, 0)), "")</f>
        <v/>
      </c>
      <c r="J27" s="918"/>
      <c r="K27" s="918" t="str">
        <f>IF(ISNUMBER(INDEX('Database.Jan 12 to SEC'!$U$6:$U$191, MATCH($A27&amp;"USD bn", 'Database.Jan 12 to SEC'!$AD$6:$AD$191, 0))), INDEX('Database.Jan 12 to SEC'!$U$6:$U$191, MATCH($A27&amp;"USD bn", 'Database.Jan 12 to SEC'!$AD$6:$AD$191, 0)), "")</f>
        <v/>
      </c>
      <c r="L27" s="918" t="str">
        <f>IF(ISNUMBER(INDEX('Database.Jan 12 to SEC'!$W$6:$W$191, MATCH($A27&amp;"USD bn", 'Database.Jan 12 to SEC'!$AD$6:$AD$191, 0))), INDEX('Database.Jan 12 to SEC'!$W$6:$W$191, MATCH($A27&amp;"USD bn", 'Database.Jan 12 to SEC'!$AD$6:$AD$191, 0)), "")</f>
        <v/>
      </c>
      <c r="M27" s="885"/>
      <c r="N27" s="885"/>
      <c r="O27" s="882" t="str">
        <f>IF(ISNUMBER(INDEX('Database.Jan 12 to SEC'!$G$6:$G$191, MATCH($A27&amp;"% GDP", 'Database.Jan 12 to SEC'!$AD$6:$AD$191, 0))), INDEX('Database.Jan 12 to SEC'!$G$6:$G$191, MATCH($A27&amp;"% GDP", 'Database.Jan 12 to SEC'!$AD$6:$AD$191, 0)), "")</f>
        <v/>
      </c>
      <c r="P27" s="881" t="str">
        <f>IF(ISNUMBER(INDEX('Database.Jan 12 to SEC'!$H$6:$H$191, MATCH($A27&amp;"% GDP", 'Database.Jan 12 to SEC'!$AD$6:$AD$191, 0))), INDEX('Database.Jan 12 to SEC'!$H$6:$H$191, MATCH($A27&amp;"% GDP", 'Database.Jan 12 to SEC'!$AD$6:$AD$191, 0)), "")</f>
        <v/>
      </c>
      <c r="Q27" s="881" t="str">
        <f>IF(ISNUMBER(INDEX('Database.Jan 12 to SEC'!$J$6:$J$191, MATCH($A27&amp;"% GDP", 'Database.Jan 12 to SEC'!$AD$6:$AD$191, 0))), INDEX('Database.Jan 12 to SEC'!$J$6:$J$191, MATCH($A27&amp;"% GDP", 'Database.Jan 12 to SEC'!$AD$6:$AD$191, 0)), "")</f>
        <v/>
      </c>
      <c r="R27" s="881" t="str">
        <f>IF(ISNUMBER(INDEX('Database.Jan 12 to SEC'!$L$6:$L$191, MATCH($A27&amp;"% GDP", 'Database.Jan 12 to SEC'!$AD$6:$AD$191, 0))), INDEX('Database.Jan 12 to SEC'!$L$6:$L$191, MATCH($A27&amp;"% GDP", 'Database.Jan 12 to SEC'!$AD$6:$AD$191, 0)), "")</f>
        <v/>
      </c>
      <c r="S27" s="883"/>
      <c r="T27" s="882" t="str">
        <f>IF(ISNUMBER(INDEX('Database.Jan 12 to SEC'!$P$6:$P$191, MATCH($A27&amp;"% GDP", 'Database.Jan 12 to SEC'!$AD$6:$AD$191, 0))), INDEX('Database.Jan 12 to SEC'!$P$6:$P$191, MATCH($A27&amp;"% GDP", 'Database.Jan 12 to SEC'!$AD$6:$AD$191, 0)), "")</f>
        <v/>
      </c>
      <c r="U27" s="881" t="str">
        <f>IF(ISNUMBER(INDEX('Database.Jan 12 to SEC'!$Q$6:$Q$191, MATCH($A27&amp;"% GDP", 'Database.Jan 12 to SEC'!$AD$6:$AD$191, 0))), INDEX('Database.Jan 12 to SEC'!$Q$6:$Q$191, MATCH($A27&amp;"% GDP", 'Database.Jan 12 to SEC'!$AD$6:$AD$191, 0)), "")</f>
        <v/>
      </c>
      <c r="V27" s="884"/>
      <c r="W27" s="881" t="str">
        <f>IF(ISNUMBER(INDEX('Database.Jan 12 to SEC'!$U$6:$U$191, MATCH($A27&amp;"% GDP", 'Database.Jan 12 to SEC'!$AD$6:$AD$191, 0))), INDEX('Database.Jan 12 to SEC'!$U$6:$U$191, MATCH($A27&amp;"% GDP", 'Database.Jan 12 to SEC'!$AD$6:$AD$191, 0)), "")</f>
        <v/>
      </c>
      <c r="X27" s="881" t="str">
        <f>IF(ISNUMBER(INDEX('Database.Jan 12 to SEC'!$W$6:$W$191, MATCH($A27&amp;"% GDP", 'Database.Jan 12 to SEC'!$AD$6:$AD$191, 0))), INDEX('Database.Jan 12 to SEC'!$W$6:$W$191, MATCH($A27&amp;"% GDP", 'Database.Jan 12 to SEC'!$AD$6:$AD$191, 0)), "")</f>
        <v/>
      </c>
      <c r="Z27" s="898"/>
      <c r="AC27" s="562"/>
      <c r="AE27" s="764" t="s">
        <v>16</v>
      </c>
      <c r="AF27" s="839">
        <v>18.026666666666664</v>
      </c>
      <c r="AG27" s="833">
        <v>14.4</v>
      </c>
      <c r="AH27" s="833">
        <v>3.6266666666666634</v>
      </c>
      <c r="AI27" s="833">
        <v>11.333333333333334</v>
      </c>
      <c r="AJ27" s="832"/>
      <c r="AK27" s="839">
        <v>6.8533333333333335</v>
      </c>
      <c r="AL27" s="833">
        <v>6.8533333333333335</v>
      </c>
      <c r="AM27" s="837"/>
      <c r="AN27" s="833" t="s">
        <v>452</v>
      </c>
      <c r="AO27" s="833" t="s">
        <v>452</v>
      </c>
      <c r="AP27" s="834"/>
      <c r="AQ27" s="834"/>
      <c r="AR27" s="839">
        <v>2.5748045471962433</v>
      </c>
      <c r="AS27" s="833">
        <v>2.0567965317839816</v>
      </c>
      <c r="AT27" s="833">
        <v>0.51800801541226171</v>
      </c>
      <c r="AU27" s="833">
        <v>1.6187750329433777</v>
      </c>
      <c r="AV27" s="832"/>
      <c r="AW27" s="839">
        <v>0.97888278462693656</v>
      </c>
      <c r="AX27" s="833">
        <v>0.97888278462693656</v>
      </c>
      <c r="AY27" s="837"/>
      <c r="AZ27" s="833" t="s">
        <v>452</v>
      </c>
      <c r="BA27" s="833" t="s">
        <v>452</v>
      </c>
    </row>
    <row r="28" spans="1:53">
      <c r="A28" s="764" t="s">
        <v>17</v>
      </c>
      <c r="B28" s="764" t="s">
        <v>17</v>
      </c>
      <c r="C28" s="917" t="str">
        <f>IF(ISNUMBER(INDEX('Database.Jan 12 to SEC'!$G$6:$G$191, MATCH($A28&amp;"USD bn", 'Database.Jan 12 to SEC'!$AD$6:$AD$191, 0))), INDEX('Database.Jan 12 to SEC'!$G$6:$G$191, MATCH($A28&amp;"USD bn", 'Database.Jan 12 to SEC'!$AD$6:$AD$191, 0)), "")</f>
        <v/>
      </c>
      <c r="D28" s="918" t="str">
        <f>IF(ISNUMBER(INDEX('Database.Jan 12 to SEC'!$H$6:$H$191, MATCH($A28&amp;"USD bn", 'Database.Jan 12 to SEC'!$AD$6:$AD$191, 0))), INDEX('Database.Jan 12 to SEC'!$H$6:$H$191, MATCH($A28&amp;"USD bn", 'Database.Jan 12 to SEC'!$AD$6:$AD$191, 0)), "")</f>
        <v/>
      </c>
      <c r="E28" s="918" t="str">
        <f>IF(ISNUMBER(INDEX('Database.Jan 12 to SEC'!$J$6:$J$191, MATCH($A28&amp;"USD bn", 'Database.Jan 12 to SEC'!$AD$6:$AD$191, 0))), INDEX('Database.Jan 12 to SEC'!$J$6:$J$191, MATCH($A28&amp;"USD bn", 'Database.Jan 12 to SEC'!$AD$6:$AD$191, 0)), "")</f>
        <v/>
      </c>
      <c r="F28" s="918" t="str">
        <f>IF(ISNUMBER(INDEX('Database.Jan 12 to SEC'!$L$6:$L$191, MATCH($A28&amp;"USD bn", 'Database.Jan 12 to SEC'!$AD$6:$AD$191, 0))), INDEX('Database.Jan 12 to SEC'!$L$6:$L$191, MATCH($A28&amp;"USD bn", 'Database.Jan 12 to SEC'!$AD$6:$AD$191, 0)), "")</f>
        <v/>
      </c>
      <c r="G28" s="918"/>
      <c r="H28" s="919" t="str">
        <f>IF(ISNUMBER(INDEX('Database.Jan 12 to SEC'!$P$6:$P$191, MATCH($A28&amp;"USD bn", 'Database.Jan 12 to SEC'!$AD$6:$AD$191, 0))), INDEX('Database.Jan 12 to SEC'!$P$6:$P$191, MATCH($A28&amp;"USD bn", 'Database.Jan 12 to SEC'!$AD$6:$AD$191, 0)), "")</f>
        <v/>
      </c>
      <c r="I28" s="918" t="str">
        <f>IF(ISNUMBER(INDEX('Database.Jan 12 to SEC'!$Q$6:$Q$191, MATCH($A28&amp;"USD bn", 'Database.Jan 12 to SEC'!$AD$6:$AD$191, 0))), INDEX('Database.Jan 12 to SEC'!$Q$6:$Q$191, MATCH($A28&amp;"USD bn", 'Database.Jan 12 to SEC'!$AD$6:$AD$191, 0)), "")</f>
        <v/>
      </c>
      <c r="J28" s="918"/>
      <c r="K28" s="918" t="str">
        <f>IF(ISNUMBER(INDEX('Database.Jan 12 to SEC'!$U$6:$U$191, MATCH($A28&amp;"USD bn", 'Database.Jan 12 to SEC'!$AD$6:$AD$191, 0))), INDEX('Database.Jan 12 to SEC'!$U$6:$U$191, MATCH($A28&amp;"USD bn", 'Database.Jan 12 to SEC'!$AD$6:$AD$191, 0)), "")</f>
        <v/>
      </c>
      <c r="L28" s="918" t="str">
        <f>IF(ISNUMBER(INDEX('Database.Jan 12 to SEC'!$W$6:$W$191, MATCH($A28&amp;"USD bn", 'Database.Jan 12 to SEC'!$AD$6:$AD$191, 0))), INDEX('Database.Jan 12 to SEC'!$W$6:$W$191, MATCH($A28&amp;"USD bn", 'Database.Jan 12 to SEC'!$AD$6:$AD$191, 0)), "")</f>
        <v/>
      </c>
      <c r="M28" s="885"/>
      <c r="N28" s="885"/>
      <c r="O28" s="882" t="str">
        <f>IF(ISNUMBER(INDEX('Database.Jan 12 to SEC'!$G$6:$G$191, MATCH($A28&amp;"% GDP", 'Database.Jan 12 to SEC'!$AD$6:$AD$191, 0))), INDEX('Database.Jan 12 to SEC'!$G$6:$G$191, MATCH($A28&amp;"% GDP", 'Database.Jan 12 to SEC'!$AD$6:$AD$191, 0)), "")</f>
        <v/>
      </c>
      <c r="P28" s="881" t="str">
        <f>IF(ISNUMBER(INDEX('Database.Jan 12 to SEC'!$H$6:$H$191, MATCH($A28&amp;"% GDP", 'Database.Jan 12 to SEC'!$AD$6:$AD$191, 0))), INDEX('Database.Jan 12 to SEC'!$H$6:$H$191, MATCH($A28&amp;"% GDP", 'Database.Jan 12 to SEC'!$AD$6:$AD$191, 0)), "")</f>
        <v/>
      </c>
      <c r="Q28" s="881" t="str">
        <f>IF(ISNUMBER(INDEX('Database.Jan 12 to SEC'!$J$6:$J$191, MATCH($A28&amp;"% GDP", 'Database.Jan 12 to SEC'!$AD$6:$AD$191, 0))), INDEX('Database.Jan 12 to SEC'!$J$6:$J$191, MATCH($A28&amp;"% GDP", 'Database.Jan 12 to SEC'!$AD$6:$AD$191, 0)), "")</f>
        <v/>
      </c>
      <c r="R28" s="881" t="str">
        <f>IF(ISNUMBER(INDEX('Database.Jan 12 to SEC'!$L$6:$L$191, MATCH($A28&amp;"% GDP", 'Database.Jan 12 to SEC'!$AD$6:$AD$191, 0))), INDEX('Database.Jan 12 to SEC'!$L$6:$L$191, MATCH($A28&amp;"% GDP", 'Database.Jan 12 to SEC'!$AD$6:$AD$191, 0)), "")</f>
        <v/>
      </c>
      <c r="S28" s="883"/>
      <c r="T28" s="882" t="str">
        <f>IF(ISNUMBER(INDEX('Database.Jan 12 to SEC'!$P$6:$P$191, MATCH($A28&amp;"% GDP", 'Database.Jan 12 to SEC'!$AD$6:$AD$191, 0))), INDEX('Database.Jan 12 to SEC'!$P$6:$P$191, MATCH($A28&amp;"% GDP", 'Database.Jan 12 to SEC'!$AD$6:$AD$191, 0)), "")</f>
        <v/>
      </c>
      <c r="U28" s="881" t="str">
        <f>IF(ISNUMBER(INDEX('Database.Jan 12 to SEC'!$Q$6:$Q$191, MATCH($A28&amp;"% GDP", 'Database.Jan 12 to SEC'!$AD$6:$AD$191, 0))), INDEX('Database.Jan 12 to SEC'!$Q$6:$Q$191, MATCH($A28&amp;"% GDP", 'Database.Jan 12 to SEC'!$AD$6:$AD$191, 0)), "")</f>
        <v/>
      </c>
      <c r="V28" s="884"/>
      <c r="W28" s="881" t="str">
        <f>IF(ISNUMBER(INDEX('Database.Jan 12 to SEC'!$U$6:$U$191, MATCH($A28&amp;"% GDP", 'Database.Jan 12 to SEC'!$AD$6:$AD$191, 0))), INDEX('Database.Jan 12 to SEC'!$U$6:$U$191, MATCH($A28&amp;"% GDP", 'Database.Jan 12 to SEC'!$AD$6:$AD$191, 0)), "")</f>
        <v/>
      </c>
      <c r="X28" s="881" t="str">
        <f>IF(ISNUMBER(INDEX('Database.Jan 12 to SEC'!$W$6:$W$191, MATCH($A28&amp;"% GDP", 'Database.Jan 12 to SEC'!$AD$6:$AD$191, 0))), INDEX('Database.Jan 12 to SEC'!$W$6:$W$191, MATCH($A28&amp;"% GDP", 'Database.Jan 12 to SEC'!$AD$6:$AD$191, 0)), "")</f>
        <v/>
      </c>
      <c r="Z28" s="898"/>
      <c r="AC28" s="562"/>
      <c r="AE28" s="764" t="s">
        <v>17</v>
      </c>
      <c r="AF28" s="839">
        <v>17.693238243228844</v>
      </c>
      <c r="AG28" s="833">
        <v>2.3262994325975441</v>
      </c>
      <c r="AH28" s="833">
        <v>15.3669388106313</v>
      </c>
      <c r="AI28" s="833">
        <v>2.6725110975010953</v>
      </c>
      <c r="AJ28" s="832"/>
      <c r="AK28" s="839">
        <v>12.32999438165278</v>
      </c>
      <c r="AL28" s="833" t="s">
        <v>452</v>
      </c>
      <c r="AM28" s="837"/>
      <c r="AN28" s="833">
        <v>12.147777715914069</v>
      </c>
      <c r="AO28" s="833">
        <v>0.18221666573871104</v>
      </c>
      <c r="AP28" s="834"/>
      <c r="AQ28" s="834"/>
      <c r="AR28" s="839">
        <v>5.2761463161134641</v>
      </c>
      <c r="AS28" s="833">
        <v>0.69370547170321195</v>
      </c>
      <c r="AT28" s="833">
        <v>4.582440844410252</v>
      </c>
      <c r="AU28" s="833">
        <v>0.88478224805071415</v>
      </c>
      <c r="AV28" s="832"/>
      <c r="AW28" s="839">
        <v>4.0820635535067034</v>
      </c>
      <c r="AX28" s="833" t="s">
        <v>452</v>
      </c>
      <c r="AY28" s="837"/>
      <c r="AZ28" s="833">
        <v>4.0217374911396089</v>
      </c>
      <c r="BA28" s="833">
        <v>6.032606236709414E-2</v>
      </c>
    </row>
    <row r="29" spans="1:53">
      <c r="A29" s="764" t="s">
        <v>18</v>
      </c>
      <c r="B29" s="764" t="s">
        <v>18</v>
      </c>
      <c r="C29" s="917" t="str">
        <f>IF(ISNUMBER(INDEX('Database.Jan 12 to SEC'!$G$6:$G$191, MATCH($A29&amp;"USD bn", 'Database.Jan 12 to SEC'!$AD$6:$AD$191, 0))), INDEX('Database.Jan 12 to SEC'!$G$6:$G$191, MATCH($A29&amp;"USD bn", 'Database.Jan 12 to SEC'!$AD$6:$AD$191, 0)), "")</f>
        <v/>
      </c>
      <c r="D29" s="918" t="str">
        <f>IF(ISNUMBER(INDEX('Database.Jan 12 to SEC'!$H$6:$H$191, MATCH($A29&amp;"USD bn", 'Database.Jan 12 to SEC'!$AD$6:$AD$191, 0))), INDEX('Database.Jan 12 to SEC'!$H$6:$H$191, MATCH($A29&amp;"USD bn", 'Database.Jan 12 to SEC'!$AD$6:$AD$191, 0)), "")</f>
        <v/>
      </c>
      <c r="E29" s="918" t="str">
        <f>IF(ISNUMBER(INDEX('Database.Jan 12 to SEC'!$J$6:$J$191, MATCH($A29&amp;"USD bn", 'Database.Jan 12 to SEC'!$AD$6:$AD$191, 0))), INDEX('Database.Jan 12 to SEC'!$J$6:$J$191, MATCH($A29&amp;"USD bn", 'Database.Jan 12 to SEC'!$AD$6:$AD$191, 0)), "")</f>
        <v/>
      </c>
      <c r="F29" s="918" t="str">
        <f>IF(ISNUMBER(INDEX('Database.Jan 12 to SEC'!$L$6:$L$191, MATCH($A29&amp;"USD bn", 'Database.Jan 12 to SEC'!$AD$6:$AD$191, 0))), INDEX('Database.Jan 12 to SEC'!$L$6:$L$191, MATCH($A29&amp;"USD bn", 'Database.Jan 12 to SEC'!$AD$6:$AD$191, 0)), "")</f>
        <v/>
      </c>
      <c r="G29" s="918"/>
      <c r="H29" s="919" t="str">
        <f>IF(ISNUMBER(INDEX('Database.Jan 12 to SEC'!$P$6:$P$191, MATCH($A29&amp;"USD bn", 'Database.Jan 12 to SEC'!$AD$6:$AD$191, 0))), INDEX('Database.Jan 12 to SEC'!$P$6:$P$191, MATCH($A29&amp;"USD bn", 'Database.Jan 12 to SEC'!$AD$6:$AD$191, 0)), "")</f>
        <v/>
      </c>
      <c r="I29" s="918" t="str">
        <f>IF(ISNUMBER(INDEX('Database.Jan 12 to SEC'!$Q$6:$Q$191, MATCH($A29&amp;"USD bn", 'Database.Jan 12 to SEC'!$AD$6:$AD$191, 0))), INDEX('Database.Jan 12 to SEC'!$Q$6:$Q$191, MATCH($A29&amp;"USD bn", 'Database.Jan 12 to SEC'!$AD$6:$AD$191, 0)), "")</f>
        <v/>
      </c>
      <c r="J29" s="918"/>
      <c r="K29" s="918" t="str">
        <f>IF(ISNUMBER(INDEX('Database.Jan 12 to SEC'!$U$6:$U$191, MATCH($A29&amp;"USD bn", 'Database.Jan 12 to SEC'!$AD$6:$AD$191, 0))), INDEX('Database.Jan 12 to SEC'!$U$6:$U$191, MATCH($A29&amp;"USD bn", 'Database.Jan 12 to SEC'!$AD$6:$AD$191, 0)), "")</f>
        <v/>
      </c>
      <c r="L29" s="918" t="str">
        <f>IF(ISNUMBER(INDEX('Database.Jan 12 to SEC'!$W$6:$W$191, MATCH($A29&amp;"USD bn", 'Database.Jan 12 to SEC'!$AD$6:$AD$191, 0))), INDEX('Database.Jan 12 to SEC'!$W$6:$W$191, MATCH($A29&amp;"USD bn", 'Database.Jan 12 to SEC'!$AD$6:$AD$191, 0)), "")</f>
        <v/>
      </c>
      <c r="M29" s="885"/>
      <c r="N29" s="885"/>
      <c r="O29" s="882" t="str">
        <f>IF(ISNUMBER(INDEX('Database.Jan 12 to SEC'!$G$6:$G$191, MATCH($A29&amp;"% GDP", 'Database.Jan 12 to SEC'!$AD$6:$AD$191, 0))), INDEX('Database.Jan 12 to SEC'!$G$6:$G$191, MATCH($A29&amp;"% GDP", 'Database.Jan 12 to SEC'!$AD$6:$AD$191, 0)), "")</f>
        <v/>
      </c>
      <c r="P29" s="881" t="str">
        <f>IF(ISNUMBER(INDEX('Database.Jan 12 to SEC'!$H$6:$H$191, MATCH($A29&amp;"% GDP", 'Database.Jan 12 to SEC'!$AD$6:$AD$191, 0))), INDEX('Database.Jan 12 to SEC'!$H$6:$H$191, MATCH($A29&amp;"% GDP", 'Database.Jan 12 to SEC'!$AD$6:$AD$191, 0)), "")</f>
        <v/>
      </c>
      <c r="Q29" s="881" t="str">
        <f>IF(ISNUMBER(INDEX('Database.Jan 12 to SEC'!$J$6:$J$191, MATCH($A29&amp;"% GDP", 'Database.Jan 12 to SEC'!$AD$6:$AD$191, 0))), INDEX('Database.Jan 12 to SEC'!$J$6:$J$191, MATCH($A29&amp;"% GDP", 'Database.Jan 12 to SEC'!$AD$6:$AD$191, 0)), "")</f>
        <v/>
      </c>
      <c r="R29" s="881" t="str">
        <f>IF(ISNUMBER(INDEX('Database.Jan 12 to SEC'!$L$6:$L$191, MATCH($A29&amp;"% GDP", 'Database.Jan 12 to SEC'!$AD$6:$AD$191, 0))), INDEX('Database.Jan 12 to SEC'!$L$6:$L$191, MATCH($A29&amp;"% GDP", 'Database.Jan 12 to SEC'!$AD$6:$AD$191, 0)), "")</f>
        <v/>
      </c>
      <c r="S29" s="883"/>
      <c r="T29" s="882" t="str">
        <f>IF(ISNUMBER(INDEX('Database.Jan 12 to SEC'!$P$6:$P$191, MATCH($A29&amp;"% GDP", 'Database.Jan 12 to SEC'!$AD$6:$AD$191, 0))), INDEX('Database.Jan 12 to SEC'!$P$6:$P$191, MATCH($A29&amp;"% GDP", 'Database.Jan 12 to SEC'!$AD$6:$AD$191, 0)), "")</f>
        <v/>
      </c>
      <c r="U29" s="881" t="str">
        <f>IF(ISNUMBER(INDEX('Database.Jan 12 to SEC'!$Q$6:$Q$191, MATCH($A29&amp;"% GDP", 'Database.Jan 12 to SEC'!$AD$6:$AD$191, 0))), INDEX('Database.Jan 12 to SEC'!$Q$6:$Q$191, MATCH($A29&amp;"% GDP", 'Database.Jan 12 to SEC'!$AD$6:$AD$191, 0)), "")</f>
        <v/>
      </c>
      <c r="V29" s="884"/>
      <c r="W29" s="881" t="str">
        <f>IF(ISNUMBER(INDEX('Database.Jan 12 to SEC'!$U$6:$U$191, MATCH($A29&amp;"% GDP", 'Database.Jan 12 to SEC'!$AD$6:$AD$191, 0))), INDEX('Database.Jan 12 to SEC'!$U$6:$U$191, MATCH($A29&amp;"% GDP", 'Database.Jan 12 to SEC'!$AD$6:$AD$191, 0)), "")</f>
        <v/>
      </c>
      <c r="X29" s="881" t="str">
        <f>IF(ISNUMBER(INDEX('Database.Jan 12 to SEC'!$W$6:$W$191, MATCH($A29&amp;"% GDP", 'Database.Jan 12 to SEC'!$AD$6:$AD$191, 0))), INDEX('Database.Jan 12 to SEC'!$W$6:$W$191, MATCH($A29&amp;"% GDP", 'Database.Jan 12 to SEC'!$AD$6:$AD$191, 0)), "")</f>
        <v/>
      </c>
      <c r="Z29" s="898"/>
      <c r="AC29" s="562"/>
      <c r="AE29" s="764" t="s">
        <v>18</v>
      </c>
      <c r="AF29" s="839">
        <v>25.234121210982789</v>
      </c>
      <c r="AG29" s="833">
        <v>2.7673372045961901</v>
      </c>
      <c r="AH29" s="833">
        <v>22.466784006386597</v>
      </c>
      <c r="AI29" s="833">
        <v>10.01376658570374</v>
      </c>
      <c r="AJ29" s="832"/>
      <c r="AK29" s="839">
        <v>69.354605612096265</v>
      </c>
      <c r="AL29" s="833">
        <v>2.995571200851546</v>
      </c>
      <c r="AM29" s="837"/>
      <c r="AN29" s="833">
        <v>45.932091746390377</v>
      </c>
      <c r="AO29" s="833">
        <v>20.426942664854352</v>
      </c>
      <c r="AP29" s="834"/>
      <c r="AQ29" s="834"/>
      <c r="AR29" s="839">
        <v>3.5051335544057456</v>
      </c>
      <c r="AS29" s="833">
        <v>0.3843956526595334</v>
      </c>
      <c r="AT29" s="833">
        <v>3.120737901746212</v>
      </c>
      <c r="AU29" s="833">
        <v>1.3909574647783118</v>
      </c>
      <c r="AV29" s="832"/>
      <c r="AW29" s="839">
        <v>9.6336683671683065</v>
      </c>
      <c r="AX29" s="833">
        <v>0.41609838689949497</v>
      </c>
      <c r="AY29" s="837"/>
      <c r="AZ29" s="833">
        <v>6.3801752657922552</v>
      </c>
      <c r="BA29" s="833">
        <v>2.8373947144765559</v>
      </c>
    </row>
    <row r="30" spans="1:53">
      <c r="A30" s="838" t="s">
        <v>776</v>
      </c>
      <c r="B30" s="838" t="s">
        <v>776</v>
      </c>
      <c r="C30" s="894"/>
      <c r="D30" s="893"/>
      <c r="E30" s="893"/>
      <c r="F30" s="893"/>
      <c r="G30" s="885"/>
      <c r="H30" s="894" t="str">
        <f>IF(ISNUMBER(INDEX('Database.Jan 12 to SEC'!$P$6:$P$191, MATCH($A30&amp;"USD bn", 'Database.Jan 12 to SEC'!$AD$6:$AD$191, 0))), INDEX('Database.Jan 12 to SEC'!$P$6:$P$191, MATCH($A30&amp;"USD bn", 'Database.Jan 12 to SEC'!$AD$6:$AD$191, 0)), "")</f>
        <v/>
      </c>
      <c r="I30" s="884" t="str">
        <f>IF(ISNUMBER(INDEX('Database.Jan 12 to SEC'!$Q$6:$Q$191, MATCH($A30&amp;"USD bn", 'Database.Jan 12 to SEC'!$AD$6:$AD$191, 0))), INDEX('Database.Jan 12 to SEC'!$Q$6:$Q$191, MATCH($A30&amp;"USD bn", 'Database.Jan 12 to SEC'!$AD$6:$AD$191, 0)), "")</f>
        <v/>
      </c>
      <c r="J30" s="884"/>
      <c r="K30" s="884" t="str">
        <f>IF(ISNUMBER(INDEX('Database.Jan 12 to SEC'!$U$6:$U$191, MATCH($A30&amp;"USD bn", 'Database.Jan 12 to SEC'!$AD$6:$AD$191, 0))), INDEX('Database.Jan 12 to SEC'!$U$6:$U$191, MATCH($A30&amp;"USD bn", 'Database.Jan 12 to SEC'!$AD$6:$AD$191, 0)), "")</f>
        <v/>
      </c>
      <c r="L30" s="884" t="str">
        <f>IF(ISNUMBER(INDEX('Database.Jan 12 to SEC'!$W$6:$W$191, MATCH($A30&amp;"USD bn", 'Database.Jan 12 to SEC'!$AD$6:$AD$191, 0))), INDEX('Database.Jan 12 to SEC'!$W$6:$W$191, MATCH($A30&amp;"USD bn", 'Database.Jan 12 to SEC'!$AD$6:$AD$191, 0)), "")</f>
        <v/>
      </c>
      <c r="M30" s="885"/>
      <c r="N30" s="885"/>
      <c r="O30" s="894" t="str">
        <f>IF(ISNUMBER(INDEX('Database.Jan 12 to SEC'!$G$6:$G$191, MATCH($A30&amp;"% GDP", 'Database.Jan 12 to SEC'!$AD$6:$AD$191, 0))), INDEX('Database.Jan 12 to SEC'!$G$6:$G$191, MATCH($A30&amp;"% GDP", 'Database.Jan 12 to SEC'!$AD$6:$AD$191, 0)), "")</f>
        <v/>
      </c>
      <c r="P30" s="893" t="str">
        <f>IF(ISNUMBER(INDEX('Database.Jan 12 to SEC'!$H$6:$H$191, MATCH($A30&amp;"% GDP", 'Database.Jan 12 to SEC'!$AD$6:$AD$191, 0))), INDEX('Database.Jan 12 to SEC'!$H$6:$H$191, MATCH($A30&amp;"% GDP", 'Database.Jan 12 to SEC'!$AD$6:$AD$191, 0)), "")</f>
        <v/>
      </c>
      <c r="Q30" s="893" t="str">
        <f>IF(ISNUMBER(INDEX('Database.Jan 12 to SEC'!$J$6:$J$191, MATCH($A30&amp;"% GDP", 'Database.Jan 12 to SEC'!$AD$6:$AD$191, 0))), INDEX('Database.Jan 12 to SEC'!$J$6:$J$191, MATCH($A30&amp;"% GDP", 'Database.Jan 12 to SEC'!$AD$6:$AD$191, 0)), "")</f>
        <v/>
      </c>
      <c r="R30" s="893" t="str">
        <f>IF(ISNUMBER(INDEX('Database.Jan 12 to SEC'!$L$6:$L$191, MATCH($A30&amp;"% GDP", 'Database.Jan 12 to SEC'!$AD$6:$AD$191, 0))), INDEX('Database.Jan 12 to SEC'!$L$6:$L$191, MATCH($A30&amp;"% GDP", 'Database.Jan 12 to SEC'!$AD$6:$AD$191, 0)), "")</f>
        <v/>
      </c>
      <c r="S30" s="893"/>
      <c r="T30" s="894" t="str">
        <f>IF(ISNUMBER(INDEX('Database.Jan 12 to SEC'!$P$6:$P$191, MATCH($A30&amp;"% GDP", 'Database.Jan 12 to SEC'!$AD$6:$AD$191, 0))), INDEX('Database.Jan 12 to SEC'!$P$6:$P$191, MATCH($A30&amp;"% GDP", 'Database.Jan 12 to SEC'!$AD$6:$AD$191, 0)), "")</f>
        <v/>
      </c>
      <c r="U30" s="893" t="str">
        <f>IF(ISNUMBER(INDEX('Database.Jan 12 to SEC'!$Q$6:$Q$191, MATCH($A30&amp;"% GDP", 'Database.Jan 12 to SEC'!$AD$6:$AD$191, 0))), INDEX('Database.Jan 12 to SEC'!$Q$6:$Q$191, MATCH($A30&amp;"% GDP", 'Database.Jan 12 to SEC'!$AD$6:$AD$191, 0)), "")</f>
        <v/>
      </c>
      <c r="V30" s="893"/>
      <c r="W30" s="893" t="str">
        <f>IF(ISNUMBER(INDEX('Database.Jan 12 to SEC'!$U$6:$U$191, MATCH($A30&amp;"% GDP", 'Database.Jan 12 to SEC'!$AD$6:$AD$191, 0))), INDEX('Database.Jan 12 to SEC'!$U$6:$U$191, MATCH($A30&amp;"% GDP", 'Database.Jan 12 to SEC'!$AD$6:$AD$191, 0)), "")</f>
        <v/>
      </c>
      <c r="X30" s="893" t="str">
        <f>IF(ISNUMBER(INDEX('Database.Jan 12 to SEC'!$W$6:$W$191, MATCH($A30&amp;"% GDP", 'Database.Jan 12 to SEC'!$AD$6:$AD$191, 0))), INDEX('Database.Jan 12 to SEC'!$W$6:$W$191, MATCH($A30&amp;"% GDP", 'Database.Jan 12 to SEC'!$AD$6:$AD$191, 0)), "")</f>
        <v/>
      </c>
      <c r="Z30" s="898"/>
      <c r="AC30" s="565"/>
      <c r="AE30" s="838" t="s">
        <v>776</v>
      </c>
      <c r="AF30" s="839" t="s">
        <v>452</v>
      </c>
      <c r="AG30" s="833" t="s">
        <v>452</v>
      </c>
      <c r="AH30" s="833" t="s">
        <v>452</v>
      </c>
      <c r="AI30" s="833" t="s">
        <v>452</v>
      </c>
      <c r="AJ30" s="832"/>
      <c r="AK30" s="839"/>
      <c r="AL30" s="833"/>
      <c r="AM30" s="837"/>
      <c r="AN30" s="833"/>
      <c r="AO30" s="833"/>
      <c r="AP30" s="834"/>
      <c r="AQ30" s="834"/>
      <c r="AR30" s="839"/>
      <c r="AS30" s="833"/>
      <c r="AT30" s="833"/>
      <c r="AU30" s="833"/>
      <c r="AV30" s="832"/>
      <c r="AW30" s="839"/>
      <c r="AX30" s="833" t="s">
        <v>452</v>
      </c>
      <c r="AY30" s="837"/>
      <c r="AZ30" s="833" t="s">
        <v>452</v>
      </c>
      <c r="BA30" s="833" t="s">
        <v>452</v>
      </c>
    </row>
    <row r="31" spans="1:53">
      <c r="A31" s="7" t="s">
        <v>1011</v>
      </c>
      <c r="B31" s="7" t="s">
        <v>1011</v>
      </c>
      <c r="C31" s="896">
        <v>65.737835098814159</v>
      </c>
      <c r="D31" s="881">
        <v>7.6465884576745644</v>
      </c>
      <c r="E31" s="881">
        <v>58.091246641139598</v>
      </c>
      <c r="F31" s="881" t="s">
        <v>452</v>
      </c>
      <c r="G31" s="883"/>
      <c r="H31" s="882">
        <v>12.211715895092214</v>
      </c>
      <c r="I31" s="881" t="s">
        <v>452</v>
      </c>
      <c r="J31" s="884"/>
      <c r="K31" s="881">
        <v>12.211715895092214</v>
      </c>
      <c r="L31" s="881" t="s">
        <v>452</v>
      </c>
      <c r="M31" s="885"/>
      <c r="N31" s="885"/>
      <c r="O31" s="882">
        <v>15.198667161326993</v>
      </c>
      <c r="P31" s="881">
        <v>1.7679005205015772</v>
      </c>
      <c r="Q31" s="881">
        <v>13.430766640825414</v>
      </c>
      <c r="R31" s="881" t="s">
        <v>452</v>
      </c>
      <c r="S31" s="883"/>
      <c r="T31" s="882">
        <v>2.8233635178159515</v>
      </c>
      <c r="U31" s="881" t="s">
        <v>452</v>
      </c>
      <c r="V31" s="884"/>
      <c r="W31" s="881">
        <v>2.8233635178159515</v>
      </c>
      <c r="X31" s="881" t="s">
        <v>452</v>
      </c>
      <c r="Z31" s="898"/>
      <c r="AA31" s="479" t="s">
        <v>1267</v>
      </c>
      <c r="AC31" s="718"/>
      <c r="AE31" s="7" t="s">
        <v>1011</v>
      </c>
      <c r="AF31" s="839">
        <v>65.737835098814159</v>
      </c>
      <c r="AG31" s="833">
        <v>7.6465884576745644</v>
      </c>
      <c r="AH31" s="833">
        <v>58.091246641139598</v>
      </c>
      <c r="AI31" s="833" t="s">
        <v>452</v>
      </c>
      <c r="AJ31" s="832"/>
      <c r="AK31" s="839">
        <v>12.211715895092214</v>
      </c>
      <c r="AL31" s="833" t="s">
        <v>452</v>
      </c>
      <c r="AM31" s="837"/>
      <c r="AN31" s="833">
        <v>12.211715895092214</v>
      </c>
      <c r="AO31" s="833" t="s">
        <v>452</v>
      </c>
      <c r="AP31" s="834"/>
      <c r="AQ31" s="834"/>
      <c r="AR31" s="839">
        <v>15.198667161326993</v>
      </c>
      <c r="AS31" s="833">
        <v>1.7679005205015772</v>
      </c>
      <c r="AT31" s="833">
        <v>13.430766640825414</v>
      </c>
      <c r="AU31" s="833" t="s">
        <v>452</v>
      </c>
      <c r="AV31" s="832"/>
      <c r="AW31" s="839">
        <v>2.8233635178159515</v>
      </c>
      <c r="AX31" s="833" t="s">
        <v>452</v>
      </c>
      <c r="AY31" s="837"/>
      <c r="AZ31" s="833">
        <v>2.8233635178159515</v>
      </c>
      <c r="BA31" s="833" t="s">
        <v>452</v>
      </c>
    </row>
    <row r="32" spans="1:53">
      <c r="A32" s="764" t="s">
        <v>547</v>
      </c>
      <c r="B32" s="764" t="s">
        <v>547</v>
      </c>
      <c r="C32" s="896" t="str">
        <f>IF(ISNUMBER(INDEX('Database.Jan 12 to SEC'!$G$6:$G$191, MATCH($A32&amp;"USD bn", 'Database.Jan 12 to SEC'!$AD$6:$AD$191, 0))), INDEX('Database.Jan 12 to SEC'!$G$6:$G$191, MATCH($A32&amp;"USD bn", 'Database.Jan 12 to SEC'!$AD$6:$AD$191, 0)), "")</f>
        <v/>
      </c>
      <c r="D32" s="881" t="str">
        <f>IF(ISNUMBER(INDEX('Database.Jan 12 to SEC'!$H$6:$H$191, MATCH($A32&amp;"USD bn", 'Database.Jan 12 to SEC'!$AD$6:$AD$191, 0))), INDEX('Database.Jan 12 to SEC'!$H$6:$H$191, MATCH($A32&amp;"USD bn", 'Database.Jan 12 to SEC'!$AD$6:$AD$191, 0)), "")</f>
        <v/>
      </c>
      <c r="E32" s="881" t="str">
        <f>IF(ISNUMBER(INDEX('Database.Jan 12 to SEC'!$J$6:$J$191, MATCH($A32&amp;"USD bn", 'Database.Jan 12 to SEC'!$AD$6:$AD$191, 0))), INDEX('Database.Jan 12 to SEC'!$J$6:$J$191, MATCH($A32&amp;"USD bn", 'Database.Jan 12 to SEC'!$AD$6:$AD$191, 0)), "")</f>
        <v/>
      </c>
      <c r="F32" s="881" t="str">
        <f>IF(ISNUMBER(INDEX('Database.Jan 12 to SEC'!$L$6:$L$191, MATCH($A32&amp;"USD bn", 'Database.Jan 12 to SEC'!$AD$6:$AD$191, 0))), INDEX('Database.Jan 12 to SEC'!$L$6:$L$191, MATCH($A32&amp;"USD bn", 'Database.Jan 12 to SEC'!$AD$6:$AD$191, 0)), "")</f>
        <v/>
      </c>
      <c r="G32" s="883"/>
      <c r="H32" s="882" t="str">
        <f>IF(ISNUMBER(INDEX('Database.Jan 12 to SEC'!$P$6:$P$191, MATCH($A32&amp;"USD bn", 'Database.Jan 12 to SEC'!$AD$6:$AD$191, 0))), INDEX('Database.Jan 12 to SEC'!$P$6:$P$191, MATCH($A32&amp;"USD bn", 'Database.Jan 12 to SEC'!$AD$6:$AD$191, 0)), "")</f>
        <v/>
      </c>
      <c r="I32" s="881" t="str">
        <f>IF(ISNUMBER(INDEX('Database.Jan 12 to SEC'!$Q$6:$Q$191, MATCH($A32&amp;"USD bn", 'Database.Jan 12 to SEC'!$AD$6:$AD$191, 0))), INDEX('Database.Jan 12 to SEC'!$Q$6:$Q$191, MATCH($A32&amp;"USD bn", 'Database.Jan 12 to SEC'!$AD$6:$AD$191, 0)), "")</f>
        <v/>
      </c>
      <c r="J32" s="884"/>
      <c r="K32" s="881" t="str">
        <f>IF(ISNUMBER(INDEX('Database.Jan 12 to SEC'!$U$6:$U$191, MATCH($A32&amp;"USD bn", 'Database.Jan 12 to SEC'!$AD$6:$AD$191, 0))), INDEX('Database.Jan 12 to SEC'!$U$6:$U$191, MATCH($A32&amp;"USD bn", 'Database.Jan 12 to SEC'!$AD$6:$AD$191, 0)), "")</f>
        <v/>
      </c>
      <c r="L32" s="881" t="str">
        <f>IF(ISNUMBER(INDEX('Database.Jan 12 to SEC'!$W$6:$W$191, MATCH($A32&amp;"USD bn", 'Database.Jan 12 to SEC'!$AD$6:$AD$191, 0))), INDEX('Database.Jan 12 to SEC'!$W$6:$W$191, MATCH($A32&amp;"USD bn", 'Database.Jan 12 to SEC'!$AD$6:$AD$191, 0)), "")</f>
        <v/>
      </c>
      <c r="M32" s="885"/>
      <c r="N32" s="885"/>
      <c r="O32" s="882" t="str">
        <f>IF(ISNUMBER(INDEX('Database.Jan 12 to SEC'!$G$6:$G$191, MATCH($A32&amp;"% GDP", 'Database.Jan 12 to SEC'!$AD$6:$AD$191, 0))), INDEX('Database.Jan 12 to SEC'!$G$6:$G$191, MATCH($A32&amp;"% GDP", 'Database.Jan 12 to SEC'!$AD$6:$AD$191, 0)), "")</f>
        <v/>
      </c>
      <c r="P32" s="881" t="str">
        <f>IF(ISNUMBER(INDEX('Database.Jan 12 to SEC'!$H$6:$H$191, MATCH($A32&amp;"% GDP", 'Database.Jan 12 to SEC'!$AD$6:$AD$191, 0))), INDEX('Database.Jan 12 to SEC'!$H$6:$H$191, MATCH($A32&amp;"% GDP", 'Database.Jan 12 to SEC'!$AD$6:$AD$191, 0)), "")</f>
        <v/>
      </c>
      <c r="Q32" s="881" t="str">
        <f>IF(ISNUMBER(INDEX('Database.Jan 12 to SEC'!$J$6:$J$191, MATCH($A32&amp;"% GDP", 'Database.Jan 12 to SEC'!$AD$6:$AD$191, 0))), INDEX('Database.Jan 12 to SEC'!$J$6:$J$191, MATCH($A32&amp;"% GDP", 'Database.Jan 12 to SEC'!$AD$6:$AD$191, 0)), "")</f>
        <v/>
      </c>
      <c r="R32" s="881" t="str">
        <f>IF(ISNUMBER(INDEX('Database.Jan 12 to SEC'!$L$6:$L$191, MATCH($A32&amp;"% GDP", 'Database.Jan 12 to SEC'!$AD$6:$AD$191, 0))), INDEX('Database.Jan 12 to SEC'!$L$6:$L$191, MATCH($A32&amp;"% GDP", 'Database.Jan 12 to SEC'!$AD$6:$AD$191, 0)), "")</f>
        <v/>
      </c>
      <c r="S32" s="883"/>
      <c r="T32" s="882" t="str">
        <f>IF(ISNUMBER(INDEX('Database.Jan 12 to SEC'!$P$6:$P$191, MATCH($A32&amp;"% GDP", 'Database.Jan 12 to SEC'!$AD$6:$AD$191, 0))), INDEX('Database.Jan 12 to SEC'!$P$6:$P$191, MATCH($A32&amp;"% GDP", 'Database.Jan 12 to SEC'!$AD$6:$AD$191, 0)), "")</f>
        <v/>
      </c>
      <c r="U32" s="881" t="str">
        <f>IF(ISNUMBER(INDEX('Database.Jan 12 to SEC'!$Q$6:$Q$191, MATCH($A32&amp;"% GDP", 'Database.Jan 12 to SEC'!$AD$6:$AD$191, 0))), INDEX('Database.Jan 12 to SEC'!$Q$6:$Q$191, MATCH($A32&amp;"% GDP", 'Database.Jan 12 to SEC'!$AD$6:$AD$191, 0)), "")</f>
        <v/>
      </c>
      <c r="V32" s="884"/>
      <c r="W32" s="881" t="str">
        <f>IF(ISNUMBER(INDEX('Database.Jan 12 to SEC'!$U$6:$U$191, MATCH($A32&amp;"% GDP", 'Database.Jan 12 to SEC'!$AD$6:$AD$191, 0))), INDEX('Database.Jan 12 to SEC'!$U$6:$U$191, MATCH($A32&amp;"% GDP", 'Database.Jan 12 to SEC'!$AD$6:$AD$191, 0)), "")</f>
        <v/>
      </c>
      <c r="X32" s="881" t="str">
        <f>IF(ISNUMBER(INDEX('Database.Jan 12 to SEC'!$W$6:$W$191, MATCH($A32&amp;"% GDP", 'Database.Jan 12 to SEC'!$AD$6:$AD$191, 0))), INDEX('Database.Jan 12 to SEC'!$W$6:$W$191, MATCH($A32&amp;"% GDP", 'Database.Jan 12 to SEC'!$AD$6:$AD$191, 0)), "")</f>
        <v/>
      </c>
      <c r="Z32" s="898"/>
      <c r="AA32" s="479" t="s">
        <v>1267</v>
      </c>
      <c r="AC32" s="562"/>
      <c r="AE32" s="764" t="s">
        <v>547</v>
      </c>
      <c r="AF32" s="839">
        <v>42.113300610177824</v>
      </c>
      <c r="AG32" s="833">
        <v>10.95630584980236</v>
      </c>
      <c r="AH32" s="833">
        <v>31.156994760375461</v>
      </c>
      <c r="AI32" s="833">
        <v>14.722535985671922</v>
      </c>
      <c r="AJ32" s="832"/>
      <c r="AK32" s="839">
        <v>61.172707661396508</v>
      </c>
      <c r="AL32" s="833">
        <v>1.8260509749670601</v>
      </c>
      <c r="AM32" s="837"/>
      <c r="AN32" s="833">
        <v>59.346656686429448</v>
      </c>
      <c r="AO32" s="833" t="s">
        <v>452</v>
      </c>
      <c r="AP32" s="834"/>
      <c r="AQ32" s="834"/>
      <c r="AR32" s="839">
        <v>8.1786083953747628</v>
      </c>
      <c r="AS32" s="833">
        <v>2.127768037821077</v>
      </c>
      <c r="AT32" s="833">
        <v>6.0508403575536853</v>
      </c>
      <c r="AU32" s="833">
        <v>2.8591883008220722</v>
      </c>
      <c r="AV32" s="832"/>
      <c r="AW32" s="839">
        <v>11.880038211167678</v>
      </c>
      <c r="AX32" s="833">
        <v>0.35462800630351282</v>
      </c>
      <c r="AY32" s="837"/>
      <c r="AZ32" s="833">
        <v>11.525410204864166</v>
      </c>
      <c r="BA32" s="833" t="s">
        <v>452</v>
      </c>
    </row>
    <row r="33" spans="1:53">
      <c r="A33" s="7" t="s">
        <v>1012</v>
      </c>
      <c r="B33" s="7" t="s">
        <v>1012</v>
      </c>
      <c r="C33" s="896">
        <v>1.9670000000000001</v>
      </c>
      <c r="D33" s="881">
        <v>0.18</v>
      </c>
      <c r="E33" s="881">
        <v>1.7870000000000001</v>
      </c>
      <c r="F33" s="881">
        <v>0.34699999999999998</v>
      </c>
      <c r="G33" s="883"/>
      <c r="H33" s="882">
        <v>2.2026739885540163</v>
      </c>
      <c r="I33" s="881">
        <v>0.45651274374176504</v>
      </c>
      <c r="J33" s="884"/>
      <c r="K33" s="881">
        <v>1.7461612448122512</v>
      </c>
      <c r="L33" s="881" t="s">
        <v>452</v>
      </c>
      <c r="M33" s="885"/>
      <c r="N33" s="885"/>
      <c r="O33" s="882">
        <v>8.27</v>
      </c>
      <c r="P33" s="881">
        <v>0.76</v>
      </c>
      <c r="Q33" s="881">
        <v>7.51</v>
      </c>
      <c r="R33" s="881">
        <v>1.46</v>
      </c>
      <c r="S33" s="883"/>
      <c r="T33" s="882">
        <v>9.2607254074959098</v>
      </c>
      <c r="U33" s="881">
        <v>1.9193213279784269</v>
      </c>
      <c r="V33" s="884"/>
      <c r="W33" s="881">
        <v>7.3414040795174831</v>
      </c>
      <c r="X33" s="881" t="s">
        <v>452</v>
      </c>
      <c r="Z33" s="898"/>
      <c r="AA33" s="479" t="s">
        <v>1267</v>
      </c>
      <c r="AC33" s="718"/>
      <c r="AE33" s="7" t="s">
        <v>1012</v>
      </c>
      <c r="AF33" s="839">
        <v>1.9670000000000001</v>
      </c>
      <c r="AG33" s="833">
        <v>0.18</v>
      </c>
      <c r="AH33" s="833">
        <v>1.7870000000000001</v>
      </c>
      <c r="AI33" s="833">
        <v>0.34699999999999998</v>
      </c>
      <c r="AJ33" s="832"/>
      <c r="AK33" s="839">
        <v>2.2026739885540163</v>
      </c>
      <c r="AL33" s="833">
        <v>0.45651274374176504</v>
      </c>
      <c r="AM33" s="837"/>
      <c r="AN33" s="833">
        <v>1.7461612448122512</v>
      </c>
      <c r="AO33" s="833" t="s">
        <v>452</v>
      </c>
      <c r="AP33" s="834"/>
      <c r="AQ33" s="834"/>
      <c r="AR33" s="839">
        <v>8.27</v>
      </c>
      <c r="AS33" s="833">
        <v>0.76</v>
      </c>
      <c r="AT33" s="833">
        <v>7.51</v>
      </c>
      <c r="AU33" s="833">
        <v>1.46</v>
      </c>
      <c r="AV33" s="832"/>
      <c r="AW33" s="839">
        <v>9.2607254074959098</v>
      </c>
      <c r="AX33" s="833">
        <v>1.9193213279784269</v>
      </c>
      <c r="AY33" s="837"/>
      <c r="AZ33" s="833">
        <v>7.3414040795174831</v>
      </c>
      <c r="BA33" s="833" t="s">
        <v>452</v>
      </c>
    </row>
    <row r="34" spans="1:53">
      <c r="A34" s="7" t="s">
        <v>541</v>
      </c>
      <c r="B34" s="7" t="s">
        <v>541</v>
      </c>
      <c r="C34" s="896" t="str">
        <f>IF(ISNUMBER(INDEX('Database.Jan 12 to SEC'!$G$6:$G$191, MATCH($A34&amp;"USD bn", 'Database.Jan 12 to SEC'!$AD$6:$AD$191, 0))), INDEX('Database.Jan 12 to SEC'!$G$6:$G$191, MATCH($A34&amp;"USD bn", 'Database.Jan 12 to SEC'!$AD$6:$AD$191, 0)), "")</f>
        <v/>
      </c>
      <c r="D34" s="881" t="str">
        <f>IF(ISNUMBER(INDEX('Database.Jan 12 to SEC'!$H$6:$H$191, MATCH($A34&amp;"USD bn", 'Database.Jan 12 to SEC'!$AD$6:$AD$191, 0))), INDEX('Database.Jan 12 to SEC'!$H$6:$H$191, MATCH($A34&amp;"USD bn", 'Database.Jan 12 to SEC'!$AD$6:$AD$191, 0)), "")</f>
        <v/>
      </c>
      <c r="E34" s="881" t="str">
        <f>IF(ISNUMBER(INDEX('Database.Jan 12 to SEC'!$J$6:$J$191, MATCH($A34&amp;"USD bn", 'Database.Jan 12 to SEC'!$AD$6:$AD$191, 0))), INDEX('Database.Jan 12 to SEC'!$J$6:$J$191, MATCH($A34&amp;"USD bn", 'Database.Jan 12 to SEC'!$AD$6:$AD$191, 0)), "")</f>
        <v/>
      </c>
      <c r="F34" s="881" t="str">
        <f>IF(ISNUMBER(INDEX('Database.Jan 12 to SEC'!$L$6:$L$191, MATCH($A34&amp;"USD bn", 'Database.Jan 12 to SEC'!$AD$6:$AD$191, 0))), INDEX('Database.Jan 12 to SEC'!$L$6:$L$191, MATCH($A34&amp;"USD bn", 'Database.Jan 12 to SEC'!$AD$6:$AD$191, 0)), "")</f>
        <v/>
      </c>
      <c r="G34" s="883"/>
      <c r="H34" s="882" t="str">
        <f>IF(ISNUMBER(INDEX('Database.Jan 12 to SEC'!$P$6:$P$191, MATCH($A34&amp;"USD bn", 'Database.Jan 12 to SEC'!$AD$6:$AD$191, 0))), INDEX('Database.Jan 12 to SEC'!$P$6:$P$191, MATCH($A34&amp;"USD bn", 'Database.Jan 12 to SEC'!$AD$6:$AD$191, 0)), "")</f>
        <v/>
      </c>
      <c r="I34" s="881" t="str">
        <f>IF(ISNUMBER(INDEX('Database.Jan 12 to SEC'!$Q$6:$Q$191, MATCH($A34&amp;"USD bn", 'Database.Jan 12 to SEC'!$AD$6:$AD$191, 0))), INDEX('Database.Jan 12 to SEC'!$Q$6:$Q$191, MATCH($A34&amp;"USD bn", 'Database.Jan 12 to SEC'!$AD$6:$AD$191, 0)), "")</f>
        <v/>
      </c>
      <c r="J34" s="884"/>
      <c r="K34" s="881" t="str">
        <f>IF(ISNUMBER(INDEX('Database.Jan 12 to SEC'!$U$6:$U$191, MATCH($A34&amp;"USD bn", 'Database.Jan 12 to SEC'!$AD$6:$AD$191, 0))), INDEX('Database.Jan 12 to SEC'!$U$6:$U$191, MATCH($A34&amp;"USD bn", 'Database.Jan 12 to SEC'!$AD$6:$AD$191, 0)), "")</f>
        <v/>
      </c>
      <c r="L34" s="881" t="str">
        <f>IF(ISNUMBER(INDEX('Database.Jan 12 to SEC'!$W$6:$W$191, MATCH($A34&amp;"USD bn", 'Database.Jan 12 to SEC'!$AD$6:$AD$191, 0))), INDEX('Database.Jan 12 to SEC'!$W$6:$W$191, MATCH($A34&amp;"USD bn", 'Database.Jan 12 to SEC'!$AD$6:$AD$191, 0)), "")</f>
        <v/>
      </c>
      <c r="M34" s="885"/>
      <c r="N34" s="885"/>
      <c r="O34" s="882" t="str">
        <f>IF(ISNUMBER(INDEX('Database.Jan 12 to SEC'!$G$6:$G$191, MATCH($A34&amp;"% GDP", 'Database.Jan 12 to SEC'!$AD$6:$AD$191, 0))), INDEX('Database.Jan 12 to SEC'!$G$6:$G$191, MATCH($A34&amp;"% GDP", 'Database.Jan 12 to SEC'!$AD$6:$AD$191, 0)), "")</f>
        <v/>
      </c>
      <c r="P34" s="881" t="str">
        <f>IF(ISNUMBER(INDEX('Database.Jan 12 to SEC'!$H$6:$H$191, MATCH($A34&amp;"% GDP", 'Database.Jan 12 to SEC'!$AD$6:$AD$191, 0))), INDEX('Database.Jan 12 to SEC'!$H$6:$H$191, MATCH($A34&amp;"% GDP", 'Database.Jan 12 to SEC'!$AD$6:$AD$191, 0)), "")</f>
        <v/>
      </c>
      <c r="Q34" s="881" t="str">
        <f>IF(ISNUMBER(INDEX('Database.Jan 12 to SEC'!$J$6:$J$191, MATCH($A34&amp;"% GDP", 'Database.Jan 12 to SEC'!$AD$6:$AD$191, 0))), INDEX('Database.Jan 12 to SEC'!$J$6:$J$191, MATCH($A34&amp;"% GDP", 'Database.Jan 12 to SEC'!$AD$6:$AD$191, 0)), "")</f>
        <v/>
      </c>
      <c r="R34" s="881" t="str">
        <f>IF(ISNUMBER(INDEX('Database.Jan 12 to SEC'!$L$6:$L$191, MATCH($A34&amp;"% GDP", 'Database.Jan 12 to SEC'!$AD$6:$AD$191, 0))), INDEX('Database.Jan 12 to SEC'!$L$6:$L$191, MATCH($A34&amp;"% GDP", 'Database.Jan 12 to SEC'!$AD$6:$AD$191, 0)), "")</f>
        <v/>
      </c>
      <c r="S34" s="883"/>
      <c r="T34" s="882" t="str">
        <f>IF(ISNUMBER(INDEX('Database.Jan 12 to SEC'!$P$6:$P$191, MATCH($A34&amp;"% GDP", 'Database.Jan 12 to SEC'!$AD$6:$AD$191, 0))), INDEX('Database.Jan 12 to SEC'!$P$6:$P$191, MATCH($A34&amp;"% GDP", 'Database.Jan 12 to SEC'!$AD$6:$AD$191, 0)), "")</f>
        <v/>
      </c>
      <c r="U34" s="881" t="str">
        <f>IF(ISNUMBER(INDEX('Database.Jan 12 to SEC'!$Q$6:$Q$191, MATCH($A34&amp;"% GDP", 'Database.Jan 12 to SEC'!$AD$6:$AD$191, 0))), INDEX('Database.Jan 12 to SEC'!$Q$6:$Q$191, MATCH($A34&amp;"% GDP", 'Database.Jan 12 to SEC'!$AD$6:$AD$191, 0)), "")</f>
        <v/>
      </c>
      <c r="V34" s="884"/>
      <c r="W34" s="881" t="str">
        <f>IF(ISNUMBER(INDEX('Database.Jan 12 to SEC'!$U$6:$U$191, MATCH($A34&amp;"% GDP", 'Database.Jan 12 to SEC'!$AD$6:$AD$191, 0))), INDEX('Database.Jan 12 to SEC'!$U$6:$U$191, MATCH($A34&amp;"% GDP", 'Database.Jan 12 to SEC'!$AD$6:$AD$191, 0)), "")</f>
        <v/>
      </c>
      <c r="X34" s="881" t="str">
        <f>IF(ISNUMBER(INDEX('Database.Jan 12 to SEC'!$W$6:$W$191, MATCH($A34&amp;"% GDP", 'Database.Jan 12 to SEC'!$AD$6:$AD$191, 0))), INDEX('Database.Jan 12 to SEC'!$W$6:$W$191, MATCH($A34&amp;"% GDP", 'Database.Jan 12 to SEC'!$AD$6:$AD$191, 0)), "")</f>
        <v/>
      </c>
      <c r="Z34" s="898"/>
      <c r="AB34" s="879" t="s">
        <v>1271</v>
      </c>
      <c r="AC34" s="563"/>
      <c r="AE34" s="7" t="s">
        <v>541</v>
      </c>
      <c r="AF34" s="839">
        <v>22.550381835611422</v>
      </c>
      <c r="AG34" s="833">
        <v>6.3937269094473352</v>
      </c>
      <c r="AH34" s="833">
        <v>16.156654926164087</v>
      </c>
      <c r="AI34" s="833">
        <v>0.61610710785105727</v>
      </c>
      <c r="AJ34" s="832"/>
      <c r="AK34" s="839">
        <v>37.970293297142426</v>
      </c>
      <c r="AL34" s="833">
        <v>3.8775971822793812E-2</v>
      </c>
      <c r="AM34" s="837"/>
      <c r="AN34" s="833">
        <v>37.931517325319632</v>
      </c>
      <c r="AO34" s="833" t="s">
        <v>452</v>
      </c>
      <c r="AP34" s="834"/>
      <c r="AQ34" s="834"/>
      <c r="AR34" s="839">
        <v>9.1911264362891103</v>
      </c>
      <c r="AS34" s="833">
        <v>2.6059670675301949</v>
      </c>
      <c r="AT34" s="833">
        <v>6.5851593687589158</v>
      </c>
      <c r="AU34" s="833">
        <v>0.25111407726200669</v>
      </c>
      <c r="AV34" s="832"/>
      <c r="AW34" s="839">
        <v>15.476002537832619</v>
      </c>
      <c r="AX34" s="833">
        <v>1.5804382485021397E-2</v>
      </c>
      <c r="AY34" s="837"/>
      <c r="AZ34" s="833">
        <v>15.460198155347598</v>
      </c>
      <c r="BA34" s="833" t="s">
        <v>452</v>
      </c>
    </row>
    <row r="35" spans="1:53">
      <c r="A35" s="7" t="s">
        <v>19</v>
      </c>
      <c r="B35" s="7" t="s">
        <v>19</v>
      </c>
      <c r="C35" s="896" t="str">
        <f>IF(ISNUMBER(INDEX('Database.Jan 12 to SEC'!$G$6:$G$191, MATCH($A35&amp;"USD bn", 'Database.Jan 12 to SEC'!$AD$6:$AD$191, 0))), INDEX('Database.Jan 12 to SEC'!$G$6:$G$191, MATCH($A35&amp;"USD bn", 'Database.Jan 12 to SEC'!$AD$6:$AD$191, 0)), "")</f>
        <v/>
      </c>
      <c r="D35" s="881" t="str">
        <f>IF(ISNUMBER(INDEX('Database.Jan 12 to SEC'!$H$6:$H$191, MATCH($A35&amp;"USD bn", 'Database.Jan 12 to SEC'!$AD$6:$AD$191, 0))), INDEX('Database.Jan 12 to SEC'!$H$6:$H$191, MATCH($A35&amp;"USD bn", 'Database.Jan 12 to SEC'!$AD$6:$AD$191, 0)), "")</f>
        <v/>
      </c>
      <c r="E35" s="881" t="str">
        <f>IF(ISNUMBER(INDEX('Database.Jan 12 to SEC'!$J$6:$J$191, MATCH($A35&amp;"USD bn", 'Database.Jan 12 to SEC'!$AD$6:$AD$191, 0))), INDEX('Database.Jan 12 to SEC'!$J$6:$J$191, MATCH($A35&amp;"USD bn", 'Database.Jan 12 to SEC'!$AD$6:$AD$191, 0)), "")</f>
        <v/>
      </c>
      <c r="F35" s="881" t="str">
        <f>IF(ISNUMBER(INDEX('Database.Jan 12 to SEC'!$L$6:$L$191, MATCH($A35&amp;"USD bn", 'Database.Jan 12 to SEC'!$AD$6:$AD$191, 0))), INDEX('Database.Jan 12 to SEC'!$L$6:$L$191, MATCH($A35&amp;"USD bn", 'Database.Jan 12 to SEC'!$AD$6:$AD$191, 0)), "")</f>
        <v/>
      </c>
      <c r="G35" s="883"/>
      <c r="H35" s="882" t="str">
        <f>IF(ISNUMBER(INDEX('Database.Jan 12 to SEC'!$P$6:$P$191, MATCH($A35&amp;"USD bn", 'Database.Jan 12 to SEC'!$AD$6:$AD$191, 0))), INDEX('Database.Jan 12 to SEC'!$P$6:$P$191, MATCH($A35&amp;"USD bn", 'Database.Jan 12 to SEC'!$AD$6:$AD$191, 0)), "")</f>
        <v/>
      </c>
      <c r="I35" s="881" t="str">
        <f>IF(ISNUMBER(INDEX('Database.Jan 12 to SEC'!$Q$6:$Q$191, MATCH($A35&amp;"USD bn", 'Database.Jan 12 to SEC'!$AD$6:$AD$191, 0))), INDEX('Database.Jan 12 to SEC'!$Q$6:$Q$191, MATCH($A35&amp;"USD bn", 'Database.Jan 12 to SEC'!$AD$6:$AD$191, 0)), "")</f>
        <v/>
      </c>
      <c r="J35" s="884"/>
      <c r="K35" s="881" t="str">
        <f>IF(ISNUMBER(INDEX('Database.Jan 12 to SEC'!$U$6:$U$191, MATCH($A35&amp;"USD bn", 'Database.Jan 12 to SEC'!$AD$6:$AD$191, 0))), INDEX('Database.Jan 12 to SEC'!$U$6:$U$191, MATCH($A35&amp;"USD bn", 'Database.Jan 12 to SEC'!$AD$6:$AD$191, 0)), "")</f>
        <v/>
      </c>
      <c r="L35" s="881" t="str">
        <f>IF(ISNUMBER(INDEX('Database.Jan 12 to SEC'!$W$6:$W$191, MATCH($A35&amp;"USD bn", 'Database.Jan 12 to SEC'!$AD$6:$AD$191, 0))), INDEX('Database.Jan 12 to SEC'!$W$6:$W$191, MATCH($A35&amp;"USD bn", 'Database.Jan 12 to SEC'!$AD$6:$AD$191, 0)), "")</f>
        <v/>
      </c>
      <c r="M35" s="885"/>
      <c r="N35" s="885"/>
      <c r="O35" s="882" t="str">
        <f>IF(ISNUMBER(INDEX('Database.Jan 12 to SEC'!$G$6:$G$191, MATCH($A35&amp;"% GDP", 'Database.Jan 12 to SEC'!$AD$6:$AD$191, 0))), INDEX('Database.Jan 12 to SEC'!$G$6:$G$191, MATCH($A35&amp;"% GDP", 'Database.Jan 12 to SEC'!$AD$6:$AD$191, 0)), "")</f>
        <v/>
      </c>
      <c r="P35" s="881" t="str">
        <f>IF(ISNUMBER(INDEX('Database.Jan 12 to SEC'!$H$6:$H$191, MATCH($A35&amp;"% GDP", 'Database.Jan 12 to SEC'!$AD$6:$AD$191, 0))), INDEX('Database.Jan 12 to SEC'!$H$6:$H$191, MATCH($A35&amp;"% GDP", 'Database.Jan 12 to SEC'!$AD$6:$AD$191, 0)), "")</f>
        <v/>
      </c>
      <c r="Q35" s="881" t="str">
        <f>IF(ISNUMBER(INDEX('Database.Jan 12 to SEC'!$J$6:$J$191, MATCH($A35&amp;"% GDP", 'Database.Jan 12 to SEC'!$AD$6:$AD$191, 0))), INDEX('Database.Jan 12 to SEC'!$J$6:$J$191, MATCH($A35&amp;"% GDP", 'Database.Jan 12 to SEC'!$AD$6:$AD$191, 0)), "")</f>
        <v/>
      </c>
      <c r="R35" s="881" t="str">
        <f>IF(ISNUMBER(INDEX('Database.Jan 12 to SEC'!$L$6:$L$191, MATCH($A35&amp;"% GDP", 'Database.Jan 12 to SEC'!$AD$6:$AD$191, 0))), INDEX('Database.Jan 12 to SEC'!$L$6:$L$191, MATCH($A35&amp;"% GDP", 'Database.Jan 12 to SEC'!$AD$6:$AD$191, 0)), "")</f>
        <v/>
      </c>
      <c r="S35" s="883"/>
      <c r="T35" s="882" t="str">
        <f>IF(ISNUMBER(INDEX('Database.Jan 12 to SEC'!$P$6:$P$191, MATCH($A35&amp;"% GDP", 'Database.Jan 12 to SEC'!$AD$6:$AD$191, 0))), INDEX('Database.Jan 12 to SEC'!$P$6:$P$191, MATCH($A35&amp;"% GDP", 'Database.Jan 12 to SEC'!$AD$6:$AD$191, 0)), "")</f>
        <v/>
      </c>
      <c r="U35" s="881" t="str">
        <f>IF(ISNUMBER(INDEX('Database.Jan 12 to SEC'!$Q$6:$Q$191, MATCH($A35&amp;"% GDP", 'Database.Jan 12 to SEC'!$AD$6:$AD$191, 0))), INDEX('Database.Jan 12 to SEC'!$Q$6:$Q$191, MATCH($A35&amp;"% GDP", 'Database.Jan 12 to SEC'!$AD$6:$AD$191, 0)), "")</f>
        <v/>
      </c>
      <c r="V35" s="884"/>
      <c r="W35" s="881" t="str">
        <f>IF(ISNUMBER(INDEX('Database.Jan 12 to SEC'!$U$6:$U$191, MATCH($A35&amp;"% GDP", 'Database.Jan 12 to SEC'!$AD$6:$AD$191, 0))), INDEX('Database.Jan 12 to SEC'!$U$6:$U$191, MATCH($A35&amp;"% GDP", 'Database.Jan 12 to SEC'!$AD$6:$AD$191, 0)), "")</f>
        <v/>
      </c>
      <c r="X35" s="881" t="str">
        <f>IF(ISNUMBER(INDEX('Database.Jan 12 to SEC'!$W$6:$W$191, MATCH($A35&amp;"% GDP", 'Database.Jan 12 to SEC'!$AD$6:$AD$191, 0))), INDEX('Database.Jan 12 to SEC'!$W$6:$W$191, MATCH($A35&amp;"% GDP", 'Database.Jan 12 to SEC'!$AD$6:$AD$191, 0)), "")</f>
        <v/>
      </c>
      <c r="Z35" s="898"/>
      <c r="AA35" s="479" t="s">
        <v>1267</v>
      </c>
      <c r="AC35" s="563"/>
      <c r="AE35" s="7" t="s">
        <v>19</v>
      </c>
      <c r="AF35" s="839">
        <v>12.151964295383831</v>
      </c>
      <c r="AG35" s="833" t="s">
        <v>452</v>
      </c>
      <c r="AH35" s="833">
        <v>12.151964295383831</v>
      </c>
      <c r="AI35" s="833">
        <v>48.730141098973149</v>
      </c>
      <c r="AJ35" s="832"/>
      <c r="AK35" s="839">
        <v>55.669753413569694</v>
      </c>
      <c r="AL35" s="833">
        <v>43.105080896833208</v>
      </c>
      <c r="AM35" s="837"/>
      <c r="AN35" s="833">
        <v>12.56467251673649</v>
      </c>
      <c r="AO35" s="833" t="s">
        <v>452</v>
      </c>
      <c r="AP35" s="834"/>
      <c r="AQ35" s="834"/>
      <c r="AR35" s="839">
        <v>3.412660153565414</v>
      </c>
      <c r="AS35" s="833" t="s">
        <v>452</v>
      </c>
      <c r="AT35" s="833">
        <v>3.412660153565414</v>
      </c>
      <c r="AU35" s="833">
        <v>13.684981848511372</v>
      </c>
      <c r="AV35" s="832"/>
      <c r="AW35" s="839">
        <v>15.633846892182691</v>
      </c>
      <c r="AX35" s="833">
        <v>12.105285073024488</v>
      </c>
      <c r="AY35" s="837"/>
      <c r="AZ35" s="833">
        <v>3.528561819158202</v>
      </c>
      <c r="BA35" s="833" t="s">
        <v>452</v>
      </c>
    </row>
    <row r="36" spans="1:53">
      <c r="A36" s="7" t="s">
        <v>1013</v>
      </c>
      <c r="B36" s="7" t="s">
        <v>1013</v>
      </c>
      <c r="C36" s="896">
        <v>1.5871</v>
      </c>
      <c r="D36" s="881">
        <v>0.435</v>
      </c>
      <c r="E36" s="881">
        <v>1.1520999999999999</v>
      </c>
      <c r="F36" s="881" t="s">
        <v>452</v>
      </c>
      <c r="G36" s="883"/>
      <c r="H36" s="882">
        <v>1.3769999999999998</v>
      </c>
      <c r="I36" s="881">
        <v>1.0269999999999999</v>
      </c>
      <c r="J36" s="884"/>
      <c r="K36" s="881">
        <v>0.35</v>
      </c>
      <c r="L36" s="881" t="s">
        <v>452</v>
      </c>
      <c r="M36" s="885"/>
      <c r="N36" s="885"/>
      <c r="O36" s="882">
        <v>5.8</v>
      </c>
      <c r="P36" s="881">
        <v>1.6</v>
      </c>
      <c r="Q36" s="881">
        <v>4.1999999999999993</v>
      </c>
      <c r="R36" s="881" t="s">
        <v>452</v>
      </c>
      <c r="S36" s="883"/>
      <c r="T36" s="882">
        <v>5.0883310701650863</v>
      </c>
      <c r="U36" s="881">
        <v>3.8</v>
      </c>
      <c r="V36" s="884"/>
      <c r="W36" s="881">
        <v>1.2883310701650865</v>
      </c>
      <c r="X36" s="881" t="s">
        <v>452</v>
      </c>
      <c r="Z36" s="898"/>
      <c r="AA36" s="479" t="s">
        <v>1267</v>
      </c>
      <c r="AC36" s="718"/>
      <c r="AE36" s="7" t="s">
        <v>1013</v>
      </c>
      <c r="AF36" s="839">
        <v>1.5871</v>
      </c>
      <c r="AG36" s="833">
        <v>0.435</v>
      </c>
      <c r="AH36" s="833">
        <v>1.1520999999999999</v>
      </c>
      <c r="AI36" s="833" t="s">
        <v>452</v>
      </c>
      <c r="AJ36" s="832"/>
      <c r="AK36" s="839">
        <v>1.3769999999999998</v>
      </c>
      <c r="AL36" s="833">
        <v>1.0269999999999999</v>
      </c>
      <c r="AM36" s="837"/>
      <c r="AN36" s="833">
        <v>0.35</v>
      </c>
      <c r="AO36" s="833" t="s">
        <v>452</v>
      </c>
      <c r="AP36" s="834"/>
      <c r="AQ36" s="834"/>
      <c r="AR36" s="839">
        <v>5.8</v>
      </c>
      <c r="AS36" s="833">
        <v>1.6</v>
      </c>
      <c r="AT36" s="833">
        <v>4.1999999999999993</v>
      </c>
      <c r="AU36" s="833" t="s">
        <v>452</v>
      </c>
      <c r="AV36" s="832"/>
      <c r="AW36" s="839">
        <v>5.0883310701650863</v>
      </c>
      <c r="AX36" s="833">
        <v>3.8</v>
      </c>
      <c r="AY36" s="837"/>
      <c r="AZ36" s="833">
        <v>1.2883310701650865</v>
      </c>
      <c r="BA36" s="833" t="s">
        <v>452</v>
      </c>
    </row>
    <row r="37" spans="1:53">
      <c r="A37" s="7" t="s">
        <v>20</v>
      </c>
      <c r="B37" s="7" t="s">
        <v>20</v>
      </c>
      <c r="C37" s="896" t="str">
        <f>IF(ISNUMBER(INDEX('Database.Jan 12 to SEC'!$G$6:$G$191, MATCH($A37&amp;"USD bn", 'Database.Jan 12 to SEC'!$AD$6:$AD$191, 0))), INDEX('Database.Jan 12 to SEC'!$G$6:$G$191, MATCH($A37&amp;"USD bn", 'Database.Jan 12 to SEC'!$AD$6:$AD$191, 0)), "")</f>
        <v/>
      </c>
      <c r="D37" s="881" t="str">
        <f>IF(ISNUMBER(INDEX('Database.Jan 12 to SEC'!$H$6:$H$191, MATCH($A37&amp;"USD bn", 'Database.Jan 12 to SEC'!$AD$6:$AD$191, 0))), INDEX('Database.Jan 12 to SEC'!$H$6:$H$191, MATCH($A37&amp;"USD bn", 'Database.Jan 12 to SEC'!$AD$6:$AD$191, 0)), "")</f>
        <v/>
      </c>
      <c r="E37" s="881" t="str">
        <f>IF(ISNUMBER(INDEX('Database.Jan 12 to SEC'!$J$6:$J$191, MATCH($A37&amp;"USD bn", 'Database.Jan 12 to SEC'!$AD$6:$AD$191, 0))), INDEX('Database.Jan 12 to SEC'!$J$6:$J$191, MATCH($A37&amp;"USD bn", 'Database.Jan 12 to SEC'!$AD$6:$AD$191, 0)), "")</f>
        <v/>
      </c>
      <c r="F37" s="881" t="str">
        <f>IF(ISNUMBER(INDEX('Database.Jan 12 to SEC'!$L$6:$L$191, MATCH($A37&amp;"USD bn", 'Database.Jan 12 to SEC'!$AD$6:$AD$191, 0))), INDEX('Database.Jan 12 to SEC'!$L$6:$L$191, MATCH($A37&amp;"USD bn", 'Database.Jan 12 to SEC'!$AD$6:$AD$191, 0)), "")</f>
        <v/>
      </c>
      <c r="G37" s="883"/>
      <c r="H37" s="882" t="str">
        <f>IF(ISNUMBER(INDEX('Database.Jan 12 to SEC'!$P$6:$P$191, MATCH($A37&amp;"USD bn", 'Database.Jan 12 to SEC'!$AD$6:$AD$191, 0))), INDEX('Database.Jan 12 to SEC'!$P$6:$P$191, MATCH($A37&amp;"USD bn", 'Database.Jan 12 to SEC'!$AD$6:$AD$191, 0)), "")</f>
        <v/>
      </c>
      <c r="I37" s="881" t="str">
        <f>IF(ISNUMBER(INDEX('Database.Jan 12 to SEC'!$Q$6:$Q$191, MATCH($A37&amp;"USD bn", 'Database.Jan 12 to SEC'!$AD$6:$AD$191, 0))), INDEX('Database.Jan 12 to SEC'!$Q$6:$Q$191, MATCH($A37&amp;"USD bn", 'Database.Jan 12 to SEC'!$AD$6:$AD$191, 0)), "")</f>
        <v/>
      </c>
      <c r="J37" s="884"/>
      <c r="K37" s="881" t="str">
        <f>IF(ISNUMBER(INDEX('Database.Jan 12 to SEC'!$U$6:$U$191, MATCH($A37&amp;"USD bn", 'Database.Jan 12 to SEC'!$AD$6:$AD$191, 0))), INDEX('Database.Jan 12 to SEC'!$U$6:$U$191, MATCH($A37&amp;"USD bn", 'Database.Jan 12 to SEC'!$AD$6:$AD$191, 0)), "")</f>
        <v/>
      </c>
      <c r="L37" s="881" t="str">
        <f>IF(ISNUMBER(INDEX('Database.Jan 12 to SEC'!$W$6:$W$191, MATCH($A37&amp;"USD bn", 'Database.Jan 12 to SEC'!$AD$6:$AD$191, 0))), INDEX('Database.Jan 12 to SEC'!$W$6:$W$191, MATCH($A37&amp;"USD bn", 'Database.Jan 12 to SEC'!$AD$6:$AD$191, 0)), "")</f>
        <v/>
      </c>
      <c r="M37" s="885"/>
      <c r="N37" s="885"/>
      <c r="O37" s="882" t="str">
        <f>IF(ISNUMBER(INDEX('Database.Jan 12 to SEC'!$G$6:$G$191, MATCH($A37&amp;"% GDP", 'Database.Jan 12 to SEC'!$AD$6:$AD$191, 0))), INDEX('Database.Jan 12 to SEC'!$G$6:$G$191, MATCH($A37&amp;"% GDP", 'Database.Jan 12 to SEC'!$AD$6:$AD$191, 0)), "")</f>
        <v/>
      </c>
      <c r="P37" s="881" t="str">
        <f>IF(ISNUMBER(INDEX('Database.Jan 12 to SEC'!$H$6:$H$191, MATCH($A37&amp;"% GDP", 'Database.Jan 12 to SEC'!$AD$6:$AD$191, 0))), INDEX('Database.Jan 12 to SEC'!$H$6:$H$191, MATCH($A37&amp;"% GDP", 'Database.Jan 12 to SEC'!$AD$6:$AD$191, 0)), "")</f>
        <v/>
      </c>
      <c r="Q37" s="881" t="str">
        <f>IF(ISNUMBER(INDEX('Database.Jan 12 to SEC'!$J$6:$J$191, MATCH($A37&amp;"% GDP", 'Database.Jan 12 to SEC'!$AD$6:$AD$191, 0))), INDEX('Database.Jan 12 to SEC'!$J$6:$J$191, MATCH($A37&amp;"% GDP", 'Database.Jan 12 to SEC'!$AD$6:$AD$191, 0)), "")</f>
        <v/>
      </c>
      <c r="R37" s="881" t="str">
        <f>IF(ISNUMBER(INDEX('Database.Jan 12 to SEC'!$L$6:$L$191, MATCH($A37&amp;"% GDP", 'Database.Jan 12 to SEC'!$AD$6:$AD$191, 0))), INDEX('Database.Jan 12 to SEC'!$L$6:$L$191, MATCH($A37&amp;"% GDP", 'Database.Jan 12 to SEC'!$AD$6:$AD$191, 0)), "")</f>
        <v/>
      </c>
      <c r="S37" s="883"/>
      <c r="T37" s="882" t="str">
        <f>IF(ISNUMBER(INDEX('Database.Jan 12 to SEC'!$P$6:$P$191, MATCH($A37&amp;"% GDP", 'Database.Jan 12 to SEC'!$AD$6:$AD$191, 0))), INDEX('Database.Jan 12 to SEC'!$P$6:$P$191, MATCH($A37&amp;"% GDP", 'Database.Jan 12 to SEC'!$AD$6:$AD$191, 0)), "")</f>
        <v/>
      </c>
      <c r="U37" s="881" t="str">
        <f>IF(ISNUMBER(INDEX('Database.Jan 12 to SEC'!$Q$6:$Q$191, MATCH($A37&amp;"% GDP", 'Database.Jan 12 to SEC'!$AD$6:$AD$191, 0))), INDEX('Database.Jan 12 to SEC'!$Q$6:$Q$191, MATCH($A37&amp;"% GDP", 'Database.Jan 12 to SEC'!$AD$6:$AD$191, 0)), "")</f>
        <v/>
      </c>
      <c r="V37" s="884"/>
      <c r="W37" s="881" t="str">
        <f>IF(ISNUMBER(INDEX('Database.Jan 12 to SEC'!$U$6:$U$191, MATCH($A37&amp;"% GDP", 'Database.Jan 12 to SEC'!$AD$6:$AD$191, 0))), INDEX('Database.Jan 12 to SEC'!$U$6:$U$191, MATCH($A37&amp;"% GDP", 'Database.Jan 12 to SEC'!$AD$6:$AD$191, 0)), "")</f>
        <v/>
      </c>
      <c r="X37" s="881" t="str">
        <f>IF(ISNUMBER(INDEX('Database.Jan 12 to SEC'!$W$6:$W$191, MATCH($A37&amp;"% GDP", 'Database.Jan 12 to SEC'!$AD$6:$AD$191, 0))), INDEX('Database.Jan 12 to SEC'!$W$6:$W$191, MATCH($A37&amp;"% GDP", 'Database.Jan 12 to SEC'!$AD$6:$AD$191, 0)), "")</f>
        <v/>
      </c>
      <c r="Z37" s="898"/>
      <c r="AA37" s="479" t="s">
        <v>1267</v>
      </c>
      <c r="AC37" s="563"/>
      <c r="AE37" s="7" t="s">
        <v>20</v>
      </c>
      <c r="AF37" s="839">
        <v>12.896485010704863</v>
      </c>
      <c r="AG37" s="833">
        <v>4.6792556233530913</v>
      </c>
      <c r="AH37" s="833">
        <v>8.2172293873517717</v>
      </c>
      <c r="AI37" s="833">
        <v>0.57064092967720625</v>
      </c>
      <c r="AJ37" s="832"/>
      <c r="AK37" s="839">
        <v>19.858304352766776</v>
      </c>
      <c r="AL37" s="833">
        <v>1.3695382312252951</v>
      </c>
      <c r="AM37" s="837"/>
      <c r="AN37" s="833">
        <v>13.923638684123832</v>
      </c>
      <c r="AO37" s="833">
        <v>4.56512743741765</v>
      </c>
      <c r="AP37" s="834"/>
      <c r="AQ37" s="834"/>
      <c r="AR37" s="839">
        <v>4.7843243517875598</v>
      </c>
      <c r="AS37" s="833">
        <v>1.7359052957813266</v>
      </c>
      <c r="AT37" s="833">
        <v>3.0484190560062334</v>
      </c>
      <c r="AU37" s="833">
        <v>0.21169576777821061</v>
      </c>
      <c r="AV37" s="832"/>
      <c r="AW37" s="839">
        <v>7.3670127186817282</v>
      </c>
      <c r="AX37" s="833">
        <v>0.50806984266770538</v>
      </c>
      <c r="AY37" s="837"/>
      <c r="AZ37" s="833">
        <v>5.1653767337883378</v>
      </c>
      <c r="BA37" s="833">
        <v>1.6935661422256849</v>
      </c>
    </row>
    <row r="38" spans="1:53">
      <c r="A38" s="7" t="s">
        <v>1014</v>
      </c>
      <c r="B38" s="7" t="s">
        <v>1014</v>
      </c>
      <c r="C38" s="896">
        <v>33.097173921277964</v>
      </c>
      <c r="D38" s="881">
        <v>1.55</v>
      </c>
      <c r="E38" s="881">
        <v>31.547173921277963</v>
      </c>
      <c r="F38" s="881">
        <v>1.9401791609025012</v>
      </c>
      <c r="G38" s="883"/>
      <c r="H38" s="882">
        <v>6.9618193420619159</v>
      </c>
      <c r="I38" s="881">
        <v>3.7662301358695611</v>
      </c>
      <c r="J38" s="884"/>
      <c r="K38" s="881">
        <v>3.1955892061923548</v>
      </c>
      <c r="L38" s="881" t="s">
        <v>452</v>
      </c>
      <c r="M38" s="885"/>
      <c r="N38" s="885"/>
      <c r="O38" s="882">
        <v>17.5</v>
      </c>
      <c r="P38" s="881">
        <v>0.8</v>
      </c>
      <c r="Q38" s="881">
        <v>16.7</v>
      </c>
      <c r="R38" s="881">
        <v>1.0251462340951576</v>
      </c>
      <c r="S38" s="883"/>
      <c r="T38" s="882">
        <v>3.6884761502743775</v>
      </c>
      <c r="U38" s="881">
        <v>2</v>
      </c>
      <c r="V38" s="884"/>
      <c r="W38" s="881">
        <v>1.6884761502743773</v>
      </c>
      <c r="X38" s="881" t="s">
        <v>452</v>
      </c>
      <c r="Z38" s="898"/>
      <c r="AB38" s="879" t="s">
        <v>1272</v>
      </c>
      <c r="AC38" s="718"/>
      <c r="AE38" s="7" t="s">
        <v>1014</v>
      </c>
      <c r="AF38" s="839">
        <v>33.097173921277964</v>
      </c>
      <c r="AG38" s="833">
        <v>1.55</v>
      </c>
      <c r="AH38" s="833">
        <v>31.547173921277963</v>
      </c>
      <c r="AI38" s="833">
        <v>1.9401791609025012</v>
      </c>
      <c r="AJ38" s="832"/>
      <c r="AK38" s="839">
        <v>6.9618193420619159</v>
      </c>
      <c r="AL38" s="833">
        <v>3.7662301358695611</v>
      </c>
      <c r="AM38" s="837"/>
      <c r="AN38" s="833">
        <v>3.1955892061923548</v>
      </c>
      <c r="AO38" s="833" t="s">
        <v>452</v>
      </c>
      <c r="AP38" s="834"/>
      <c r="AQ38" s="834"/>
      <c r="AR38" s="839">
        <v>17.5</v>
      </c>
      <c r="AS38" s="833">
        <v>0.8</v>
      </c>
      <c r="AT38" s="833">
        <v>16.7</v>
      </c>
      <c r="AU38" s="833">
        <v>1.0251462340951576</v>
      </c>
      <c r="AV38" s="832"/>
      <c r="AW38" s="839">
        <v>3.6884761502743775</v>
      </c>
      <c r="AX38" s="833">
        <v>2</v>
      </c>
      <c r="AY38" s="837"/>
      <c r="AZ38" s="833">
        <v>1.6884761502743773</v>
      </c>
      <c r="BA38" s="833" t="s">
        <v>452</v>
      </c>
    </row>
    <row r="39" spans="1:53">
      <c r="A39" s="7" t="s">
        <v>39</v>
      </c>
      <c r="B39" s="7" t="s">
        <v>39</v>
      </c>
      <c r="C39" s="896">
        <v>55.6</v>
      </c>
      <c r="D39" s="881">
        <v>4.5</v>
      </c>
      <c r="E39" s="881">
        <v>51.2</v>
      </c>
      <c r="F39" s="881" t="s">
        <v>452</v>
      </c>
      <c r="G39" s="883"/>
      <c r="H39" s="882">
        <v>11</v>
      </c>
      <c r="I39" s="881" t="s">
        <v>452</v>
      </c>
      <c r="J39" s="884"/>
      <c r="K39" s="881">
        <v>11</v>
      </c>
      <c r="L39" s="881" t="s">
        <v>452</v>
      </c>
      <c r="M39" s="885"/>
      <c r="N39" s="885"/>
      <c r="O39" s="882">
        <v>16</v>
      </c>
      <c r="P39" s="881">
        <v>1.3</v>
      </c>
      <c r="Q39" s="881">
        <v>14.7</v>
      </c>
      <c r="R39" s="881" t="s">
        <v>452</v>
      </c>
      <c r="S39" s="883"/>
      <c r="T39" s="882">
        <v>3.2</v>
      </c>
      <c r="U39" s="881" t="s">
        <v>452</v>
      </c>
      <c r="V39" s="884"/>
      <c r="W39" s="881">
        <v>3.2</v>
      </c>
      <c r="X39" s="881" t="s">
        <v>452</v>
      </c>
      <c r="Z39" s="898"/>
      <c r="AA39" s="479" t="s">
        <v>1267</v>
      </c>
      <c r="AC39" s="718"/>
      <c r="AE39" s="7" t="s">
        <v>39</v>
      </c>
      <c r="AF39" s="839">
        <v>55.6</v>
      </c>
      <c r="AG39" s="833">
        <v>4.5</v>
      </c>
      <c r="AH39" s="833">
        <v>51.2</v>
      </c>
      <c r="AI39" s="833" t="s">
        <v>452</v>
      </c>
      <c r="AJ39" s="832"/>
      <c r="AK39" s="839">
        <v>11</v>
      </c>
      <c r="AL39" s="833" t="s">
        <v>452</v>
      </c>
      <c r="AM39" s="837"/>
      <c r="AN39" s="833">
        <v>11</v>
      </c>
      <c r="AO39" s="833" t="s">
        <v>452</v>
      </c>
      <c r="AP39" s="834"/>
      <c r="AQ39" s="834"/>
      <c r="AR39" s="839">
        <v>16</v>
      </c>
      <c r="AS39" s="833">
        <v>1.3</v>
      </c>
      <c r="AT39" s="833">
        <v>14.7</v>
      </c>
      <c r="AU39" s="833" t="s">
        <v>452</v>
      </c>
      <c r="AV39" s="832"/>
      <c r="AW39" s="839">
        <v>3.2</v>
      </c>
      <c r="AX39" s="833" t="s">
        <v>452</v>
      </c>
      <c r="AY39" s="837"/>
      <c r="AZ39" s="833">
        <v>3.2</v>
      </c>
      <c r="BA39" s="833" t="s">
        <v>452</v>
      </c>
    </row>
    <row r="40" spans="1:53">
      <c r="A40" s="7" t="s">
        <v>1015</v>
      </c>
      <c r="B40" s="7" t="s">
        <v>1015</v>
      </c>
      <c r="C40" s="896">
        <v>2.2042255736459442</v>
      </c>
      <c r="D40" s="881">
        <v>0.12491350018021706</v>
      </c>
      <c r="E40" s="881">
        <v>2.0793120734657271</v>
      </c>
      <c r="F40" s="881">
        <v>7.5320270858253366E-2</v>
      </c>
      <c r="G40" s="883"/>
      <c r="H40" s="882">
        <v>0.23482202091102522</v>
      </c>
      <c r="I40" s="881" t="s">
        <v>452</v>
      </c>
      <c r="J40" s="884"/>
      <c r="K40" s="881">
        <v>0.23482202091102522</v>
      </c>
      <c r="L40" s="881" t="s">
        <v>452</v>
      </c>
      <c r="M40" s="885"/>
      <c r="N40" s="885"/>
      <c r="O40" s="882">
        <v>10.149267331701516</v>
      </c>
      <c r="P40" s="881">
        <v>0.57515914969200288</v>
      </c>
      <c r="Q40" s="881">
        <v>9.574108182009514</v>
      </c>
      <c r="R40" s="881">
        <v>0.34680913495261462</v>
      </c>
      <c r="S40" s="883"/>
      <c r="T40" s="882">
        <v>1.0812284795581515</v>
      </c>
      <c r="U40" s="881" t="s">
        <v>452</v>
      </c>
      <c r="V40" s="884"/>
      <c r="W40" s="881">
        <v>1.0812284795581515</v>
      </c>
      <c r="X40" s="881" t="s">
        <v>452</v>
      </c>
      <c r="Z40" s="898"/>
      <c r="AB40" s="479" t="s">
        <v>1269</v>
      </c>
      <c r="AC40" s="718"/>
      <c r="AE40" s="7" t="s">
        <v>1015</v>
      </c>
      <c r="AF40" s="839">
        <v>2.2042255736459442</v>
      </c>
      <c r="AG40" s="833">
        <v>0.12491350018021706</v>
      </c>
      <c r="AH40" s="833">
        <v>2.0793120734657271</v>
      </c>
      <c r="AI40" s="833">
        <v>7.5320270858253366E-2</v>
      </c>
      <c r="AJ40" s="832"/>
      <c r="AK40" s="839">
        <v>0.23482202091102522</v>
      </c>
      <c r="AL40" s="833" t="s">
        <v>452</v>
      </c>
      <c r="AM40" s="837"/>
      <c r="AN40" s="833">
        <v>0.23482202091102522</v>
      </c>
      <c r="AO40" s="833" t="s">
        <v>452</v>
      </c>
      <c r="AP40" s="834"/>
      <c r="AQ40" s="834"/>
      <c r="AR40" s="839">
        <v>10.149267331701516</v>
      </c>
      <c r="AS40" s="833">
        <v>0.57515914969200288</v>
      </c>
      <c r="AT40" s="833">
        <v>9.574108182009514</v>
      </c>
      <c r="AU40" s="833">
        <v>0.34680913495261462</v>
      </c>
      <c r="AV40" s="832"/>
      <c r="AW40" s="839">
        <v>1.0812284795581515</v>
      </c>
      <c r="AX40" s="833" t="s">
        <v>452</v>
      </c>
      <c r="AY40" s="837"/>
      <c r="AZ40" s="833">
        <v>1.0812284795581515</v>
      </c>
      <c r="BA40" s="833" t="s">
        <v>452</v>
      </c>
    </row>
    <row r="41" spans="1:53">
      <c r="A41" s="7" t="s">
        <v>1016</v>
      </c>
      <c r="B41" s="7" t="s">
        <v>1016</v>
      </c>
      <c r="C41" s="896">
        <v>49.143596863801008</v>
      </c>
      <c r="D41" s="881">
        <v>5.1357683670948564</v>
      </c>
      <c r="E41" s="881">
        <v>44.007828496706153</v>
      </c>
      <c r="F41" s="881">
        <v>3.309717392127796</v>
      </c>
      <c r="G41" s="883"/>
      <c r="H41" s="882">
        <v>11.412818593544126</v>
      </c>
      <c r="I41" s="881">
        <v>5.7064092967720628</v>
      </c>
      <c r="J41" s="884"/>
      <c r="K41" s="881">
        <v>5.7064092967720628</v>
      </c>
      <c r="L41" s="881" t="s">
        <v>452</v>
      </c>
      <c r="M41" s="885"/>
      <c r="N41" s="885"/>
      <c r="O41" s="882">
        <v>11.548291759304206</v>
      </c>
      <c r="P41" s="881">
        <v>1.2068581727094501</v>
      </c>
      <c r="Q41" s="881">
        <v>10.341433586594755</v>
      </c>
      <c r="R41" s="881">
        <v>0.77775304463497896</v>
      </c>
      <c r="S41" s="883"/>
      <c r="T41" s="882">
        <v>2.6819070504654445</v>
      </c>
      <c r="U41" s="881">
        <v>1.3409535252327223</v>
      </c>
      <c r="V41" s="884"/>
      <c r="W41" s="881">
        <v>1.3409535252327223</v>
      </c>
      <c r="X41" s="881" t="s">
        <v>452</v>
      </c>
      <c r="Z41" s="898"/>
      <c r="AA41" s="479" t="s">
        <v>1267</v>
      </c>
      <c r="AC41" s="718"/>
      <c r="AE41" s="7" t="s">
        <v>1016</v>
      </c>
      <c r="AF41" s="839">
        <v>49.143596863801008</v>
      </c>
      <c r="AG41" s="833">
        <v>5.1357683670948564</v>
      </c>
      <c r="AH41" s="833">
        <v>44.007828496706153</v>
      </c>
      <c r="AI41" s="833">
        <v>3.309717392127796</v>
      </c>
      <c r="AJ41" s="832"/>
      <c r="AK41" s="839">
        <v>11.412818593544126</v>
      </c>
      <c r="AL41" s="833">
        <v>5.7064092967720628</v>
      </c>
      <c r="AM41" s="837"/>
      <c r="AN41" s="833">
        <v>5.7064092967720628</v>
      </c>
      <c r="AO41" s="833" t="s">
        <v>452</v>
      </c>
      <c r="AP41" s="834"/>
      <c r="AQ41" s="834"/>
      <c r="AR41" s="839">
        <v>11.548291759304206</v>
      </c>
      <c r="AS41" s="833">
        <v>1.2068581727094501</v>
      </c>
      <c r="AT41" s="833">
        <v>10.341433586594755</v>
      </c>
      <c r="AU41" s="833">
        <v>0.77775304463497896</v>
      </c>
      <c r="AV41" s="832"/>
      <c r="AW41" s="839">
        <v>2.6819070504654445</v>
      </c>
      <c r="AX41" s="833">
        <v>1.3409535252327223</v>
      </c>
      <c r="AY41" s="837"/>
      <c r="AZ41" s="833">
        <v>1.3409535252327223</v>
      </c>
      <c r="BA41" s="833" t="s">
        <v>452</v>
      </c>
    </row>
    <row r="42" spans="1:53">
      <c r="A42" s="7" t="s">
        <v>1017</v>
      </c>
      <c r="B42" s="7" t="s">
        <v>1017</v>
      </c>
      <c r="C42" s="896">
        <v>42.9</v>
      </c>
      <c r="D42" s="881">
        <v>9.4</v>
      </c>
      <c r="E42" s="881">
        <v>33.5</v>
      </c>
      <c r="F42" s="881">
        <v>2.1</v>
      </c>
      <c r="G42" s="883"/>
      <c r="H42" s="882">
        <v>15.3</v>
      </c>
      <c r="I42" s="881">
        <v>2</v>
      </c>
      <c r="J42" s="884"/>
      <c r="K42" s="881">
        <v>13.3</v>
      </c>
      <c r="L42" s="881" t="s">
        <v>452</v>
      </c>
      <c r="M42" s="885"/>
      <c r="N42" s="885"/>
      <c r="O42" s="882">
        <v>10.3</v>
      </c>
      <c r="P42" s="881">
        <v>2.2000000000000002</v>
      </c>
      <c r="Q42" s="881">
        <v>8.1000000000000014</v>
      </c>
      <c r="R42" s="881">
        <v>0.5</v>
      </c>
      <c r="S42" s="883"/>
      <c r="T42" s="882">
        <v>3.7</v>
      </c>
      <c r="U42" s="881">
        <v>0.5</v>
      </c>
      <c r="V42" s="884"/>
      <c r="W42" s="881">
        <v>3.2</v>
      </c>
      <c r="X42" s="881" t="s">
        <v>452</v>
      </c>
      <c r="Z42" s="898"/>
      <c r="AA42" s="479" t="s">
        <v>1267</v>
      </c>
      <c r="AC42" s="718"/>
      <c r="AE42" s="7" t="s">
        <v>1017</v>
      </c>
      <c r="AF42" s="839">
        <v>42.9</v>
      </c>
      <c r="AG42" s="833">
        <v>9.4</v>
      </c>
      <c r="AH42" s="833">
        <v>33.5</v>
      </c>
      <c r="AI42" s="833">
        <v>2.1</v>
      </c>
      <c r="AJ42" s="832"/>
      <c r="AK42" s="839">
        <v>15.3</v>
      </c>
      <c r="AL42" s="833">
        <v>2</v>
      </c>
      <c r="AM42" s="837"/>
      <c r="AN42" s="833">
        <v>13.3</v>
      </c>
      <c r="AO42" s="833" t="s">
        <v>452</v>
      </c>
      <c r="AP42" s="834"/>
      <c r="AQ42" s="834"/>
      <c r="AR42" s="839">
        <v>10.3</v>
      </c>
      <c r="AS42" s="833">
        <v>2.2000000000000002</v>
      </c>
      <c r="AT42" s="833">
        <v>8.1000000000000014</v>
      </c>
      <c r="AU42" s="833">
        <v>0.5</v>
      </c>
      <c r="AV42" s="832"/>
      <c r="AW42" s="839">
        <v>3.7</v>
      </c>
      <c r="AX42" s="833">
        <v>0.5</v>
      </c>
      <c r="AY42" s="837"/>
      <c r="AZ42" s="833">
        <v>3.2</v>
      </c>
      <c r="BA42" s="833" t="s">
        <v>452</v>
      </c>
    </row>
    <row r="43" spans="1:53" s="389" customFormat="1">
      <c r="A43" s="556" t="s">
        <v>1018</v>
      </c>
      <c r="B43" s="556" t="s">
        <v>1018</v>
      </c>
      <c r="C43" s="896">
        <v>3.5487068625075562</v>
      </c>
      <c r="D43" s="881">
        <v>0.67911263411214207</v>
      </c>
      <c r="E43" s="881">
        <v>2.8695942283954139</v>
      </c>
      <c r="F43" s="881" t="s">
        <v>452</v>
      </c>
      <c r="G43" s="883"/>
      <c r="H43" s="882">
        <v>0.66956733254859557</v>
      </c>
      <c r="I43" s="881">
        <v>0.26782693301943822</v>
      </c>
      <c r="J43" s="884"/>
      <c r="K43" s="881">
        <v>0.4017403995291573</v>
      </c>
      <c r="L43" s="881">
        <v>0</v>
      </c>
      <c r="M43" s="885"/>
      <c r="N43" s="885"/>
      <c r="O43" s="882">
        <v>10.6</v>
      </c>
      <c r="P43" s="881">
        <v>2.028511849666303</v>
      </c>
      <c r="Q43" s="881">
        <v>8.5714881503336962</v>
      </c>
      <c r="R43" s="881">
        <v>0</v>
      </c>
      <c r="S43" s="883"/>
      <c r="T43" s="882">
        <v>1.9</v>
      </c>
      <c r="U43" s="881">
        <v>0.7</v>
      </c>
      <c r="V43" s="884"/>
      <c r="W43" s="881">
        <v>1.2</v>
      </c>
      <c r="X43" s="881">
        <v>0</v>
      </c>
      <c r="Z43" s="898"/>
      <c r="AB43" s="886" t="s">
        <v>1292</v>
      </c>
      <c r="AC43" s="556"/>
      <c r="AE43" s="556" t="s">
        <v>1018</v>
      </c>
      <c r="AF43" s="839">
        <v>3.5487068625075562</v>
      </c>
      <c r="AG43" s="833">
        <v>0.67911263411214207</v>
      </c>
      <c r="AH43" s="833">
        <v>2.8695942283954139</v>
      </c>
      <c r="AI43" s="833" t="s">
        <v>452</v>
      </c>
      <c r="AJ43" s="832"/>
      <c r="AK43" s="839">
        <v>0.66956733254859557</v>
      </c>
      <c r="AL43" s="833">
        <v>0.26782693301943822</v>
      </c>
      <c r="AM43" s="837"/>
      <c r="AN43" s="833">
        <v>0.4017403995291573</v>
      </c>
      <c r="AO43" s="833">
        <v>0</v>
      </c>
      <c r="AP43" s="834"/>
      <c r="AQ43" s="834"/>
      <c r="AR43" s="839">
        <v>10.6</v>
      </c>
      <c r="AS43" s="833">
        <v>2.028511849666303</v>
      </c>
      <c r="AT43" s="833">
        <v>8.5714881503336962</v>
      </c>
      <c r="AU43" s="833">
        <v>0</v>
      </c>
      <c r="AV43" s="832"/>
      <c r="AW43" s="839">
        <v>2</v>
      </c>
      <c r="AX43" s="833">
        <v>0.8</v>
      </c>
      <c r="AY43" s="837"/>
      <c r="AZ43" s="833">
        <v>1.2</v>
      </c>
      <c r="BA43" s="833">
        <v>0</v>
      </c>
    </row>
    <row r="44" spans="1:53">
      <c r="A44" s="7" t="s">
        <v>1019</v>
      </c>
      <c r="B44" s="7" t="s">
        <v>1019</v>
      </c>
      <c r="C44" s="896">
        <v>4.4000000000000004</v>
      </c>
      <c r="D44" s="881">
        <v>1.1000000000000001</v>
      </c>
      <c r="E44" s="881">
        <v>3.3000000000000003</v>
      </c>
      <c r="F44" s="881">
        <v>1.6</v>
      </c>
      <c r="G44" s="883"/>
      <c r="H44" s="882">
        <v>1.5749689659090893</v>
      </c>
      <c r="I44" s="881">
        <v>0.43368710655467674</v>
      </c>
      <c r="J44" s="884"/>
      <c r="K44" s="881">
        <v>1.1412818593544125</v>
      </c>
      <c r="L44" s="881" t="s">
        <v>452</v>
      </c>
      <c r="M44" s="885"/>
      <c r="N44" s="885"/>
      <c r="O44" s="882">
        <v>7.9</v>
      </c>
      <c r="P44" s="881">
        <v>1.9572000000000001</v>
      </c>
      <c r="Q44" s="881">
        <v>5.9428000000000001</v>
      </c>
      <c r="R44" s="881">
        <v>2.8794</v>
      </c>
      <c r="S44" s="883"/>
      <c r="T44" s="882">
        <v>2.8203729023476543</v>
      </c>
      <c r="U44" s="881">
        <v>0.77662442238558593</v>
      </c>
      <c r="V44" s="884"/>
      <c r="W44" s="881">
        <v>2.0437484799620682</v>
      </c>
      <c r="X44" s="881" t="s">
        <v>452</v>
      </c>
      <c r="Z44" s="898"/>
      <c r="AA44" s="479" t="s">
        <v>1267</v>
      </c>
      <c r="AC44" s="718"/>
      <c r="AE44" s="7" t="s">
        <v>1019</v>
      </c>
      <c r="AF44" s="839">
        <v>4.4000000000000004</v>
      </c>
      <c r="AG44" s="833">
        <v>1.1000000000000001</v>
      </c>
      <c r="AH44" s="833">
        <v>3.3000000000000003</v>
      </c>
      <c r="AI44" s="833">
        <v>1.6</v>
      </c>
      <c r="AJ44" s="832"/>
      <c r="AK44" s="839">
        <v>1.5749689659090893</v>
      </c>
      <c r="AL44" s="833">
        <v>0.43368710655467674</v>
      </c>
      <c r="AM44" s="837"/>
      <c r="AN44" s="833">
        <v>1.1412818593544125</v>
      </c>
      <c r="AO44" s="833" t="s">
        <v>452</v>
      </c>
      <c r="AP44" s="834"/>
      <c r="AQ44" s="834"/>
      <c r="AR44" s="839">
        <v>7.9</v>
      </c>
      <c r="AS44" s="833">
        <v>1.9572000000000001</v>
      </c>
      <c r="AT44" s="833">
        <v>5.9428000000000001</v>
      </c>
      <c r="AU44" s="833">
        <v>2.8794</v>
      </c>
      <c r="AV44" s="832"/>
      <c r="AW44" s="839">
        <v>2.8203729023476543</v>
      </c>
      <c r="AX44" s="833">
        <v>0.77662442238558593</v>
      </c>
      <c r="AY44" s="837"/>
      <c r="AZ44" s="833">
        <v>2.0437484799620682</v>
      </c>
      <c r="BA44" s="833" t="s">
        <v>452</v>
      </c>
    </row>
    <row r="45" spans="1:53">
      <c r="A45" s="7" t="s">
        <v>1020</v>
      </c>
      <c r="B45" s="7" t="s">
        <v>1020</v>
      </c>
      <c r="C45" s="896">
        <v>3.0814610202569139</v>
      </c>
      <c r="D45" s="881">
        <v>0.34238455780632376</v>
      </c>
      <c r="E45" s="881">
        <v>2.7390764624505901</v>
      </c>
      <c r="F45" s="881">
        <v>5.2384837344367536</v>
      </c>
      <c r="G45" s="883"/>
      <c r="H45" s="882">
        <v>4.3254582469532235</v>
      </c>
      <c r="I45" s="881">
        <v>0.45651274374176504</v>
      </c>
      <c r="J45" s="884"/>
      <c r="K45" s="881">
        <v>2.8532046483860314</v>
      </c>
      <c r="L45" s="881">
        <v>1.0157408548254272</v>
      </c>
      <c r="M45" s="885"/>
      <c r="N45" s="885"/>
      <c r="O45" s="882">
        <v>4.2093447453346426</v>
      </c>
      <c r="P45" s="881">
        <v>0.46770497170384917</v>
      </c>
      <c r="Q45" s="881">
        <v>3.7416397736307934</v>
      </c>
      <c r="R45" s="881">
        <v>7.1558860670688924</v>
      </c>
      <c r="S45" s="883"/>
      <c r="T45" s="882">
        <v>5.9086728091919616</v>
      </c>
      <c r="U45" s="881">
        <v>0.62360662893846563</v>
      </c>
      <c r="V45" s="884"/>
      <c r="W45" s="881">
        <v>3.8975414308654104</v>
      </c>
      <c r="X45" s="881">
        <v>1.387524749388086</v>
      </c>
      <c r="Z45" s="898"/>
      <c r="AA45" s="479" t="s">
        <v>1267</v>
      </c>
      <c r="AC45" s="718"/>
      <c r="AE45" s="7" t="s">
        <v>1020</v>
      </c>
      <c r="AF45" s="839">
        <v>3.0814610202569139</v>
      </c>
      <c r="AG45" s="833">
        <v>0.34238455780632376</v>
      </c>
      <c r="AH45" s="833">
        <v>2.7390764624505901</v>
      </c>
      <c r="AI45" s="833">
        <v>5.2384837344367536</v>
      </c>
      <c r="AJ45" s="832"/>
      <c r="AK45" s="839">
        <v>4.3254582469532235</v>
      </c>
      <c r="AL45" s="833">
        <v>0.45651274374176504</v>
      </c>
      <c r="AM45" s="837"/>
      <c r="AN45" s="833">
        <v>2.8532046483860314</v>
      </c>
      <c r="AO45" s="833">
        <v>1.0157408548254272</v>
      </c>
      <c r="AP45" s="834"/>
      <c r="AQ45" s="834"/>
      <c r="AR45" s="839">
        <v>4.2093447453346426</v>
      </c>
      <c r="AS45" s="833">
        <v>0.46770497170384917</v>
      </c>
      <c r="AT45" s="833">
        <v>3.7416397736307934</v>
      </c>
      <c r="AU45" s="833">
        <v>7.1558860670688924</v>
      </c>
      <c r="AV45" s="832"/>
      <c r="AW45" s="839">
        <v>5.9086728091919616</v>
      </c>
      <c r="AX45" s="833">
        <v>0.62360662893846563</v>
      </c>
      <c r="AY45" s="837"/>
      <c r="AZ45" s="833">
        <v>3.8975414308654104</v>
      </c>
      <c r="BA45" s="833">
        <v>1.387524749388086</v>
      </c>
    </row>
    <row r="46" spans="1:53">
      <c r="A46" s="7" t="s">
        <v>1021</v>
      </c>
      <c r="B46" s="7" t="s">
        <v>1021</v>
      </c>
      <c r="C46" s="896">
        <v>11.052610415145159</v>
      </c>
      <c r="D46" s="881">
        <v>0.10264032322105357</v>
      </c>
      <c r="E46" s="881">
        <v>10.949970091924106</v>
      </c>
      <c r="F46" s="881" t="s">
        <v>452</v>
      </c>
      <c r="G46" s="883"/>
      <c r="H46" s="882" t="s">
        <v>452</v>
      </c>
      <c r="I46" s="881" t="s">
        <v>452</v>
      </c>
      <c r="J46" s="884"/>
      <c r="K46" s="881" t="s">
        <v>452</v>
      </c>
      <c r="L46" s="881" t="s">
        <v>452</v>
      </c>
      <c r="M46" s="885"/>
      <c r="N46" s="885"/>
      <c r="O46" s="882">
        <v>45.422278006975382</v>
      </c>
      <c r="P46" s="881">
        <v>0.42181503924937497</v>
      </c>
      <c r="Q46" s="881">
        <v>45.000462967726008</v>
      </c>
      <c r="R46" s="881" t="s">
        <v>452</v>
      </c>
      <c r="S46" s="883"/>
      <c r="T46" s="882" t="s">
        <v>452</v>
      </c>
      <c r="U46" s="881" t="s">
        <v>452</v>
      </c>
      <c r="V46" s="884"/>
      <c r="W46" s="881" t="s">
        <v>452</v>
      </c>
      <c r="X46" s="881" t="s">
        <v>452</v>
      </c>
      <c r="Z46" s="898"/>
      <c r="AA46" s="479" t="s">
        <v>1267</v>
      </c>
      <c r="AC46" s="718"/>
      <c r="AE46" s="7" t="s">
        <v>1021</v>
      </c>
      <c r="AF46" s="839">
        <v>11.052610415145159</v>
      </c>
      <c r="AG46" s="833">
        <v>0.10264032322105357</v>
      </c>
      <c r="AH46" s="833">
        <v>10.949970091924106</v>
      </c>
      <c r="AI46" s="833" t="s">
        <v>452</v>
      </c>
      <c r="AJ46" s="832"/>
      <c r="AK46" s="839" t="s">
        <v>452</v>
      </c>
      <c r="AL46" s="833" t="s">
        <v>452</v>
      </c>
      <c r="AM46" s="837"/>
      <c r="AN46" s="833" t="s">
        <v>452</v>
      </c>
      <c r="AO46" s="833" t="s">
        <v>452</v>
      </c>
      <c r="AP46" s="834"/>
      <c r="AQ46" s="834"/>
      <c r="AR46" s="839">
        <v>45.422278006975382</v>
      </c>
      <c r="AS46" s="833">
        <v>0.42181503924937497</v>
      </c>
      <c r="AT46" s="833">
        <v>45.000462967726008</v>
      </c>
      <c r="AU46" s="833" t="s">
        <v>452</v>
      </c>
      <c r="AV46" s="832"/>
      <c r="AW46" s="839" t="s">
        <v>452</v>
      </c>
      <c r="AX46" s="833" t="s">
        <v>452</v>
      </c>
      <c r="AY46" s="837"/>
      <c r="AZ46" s="833" t="s">
        <v>452</v>
      </c>
      <c r="BA46" s="833" t="s">
        <v>452</v>
      </c>
    </row>
    <row r="47" spans="1:53" ht="13" customHeight="1">
      <c r="A47" s="7" t="s">
        <v>1022</v>
      </c>
      <c r="B47" s="7" t="s">
        <v>1022</v>
      </c>
      <c r="C47" s="896">
        <v>1.8</v>
      </c>
      <c r="D47" s="881">
        <v>0.2</v>
      </c>
      <c r="E47" s="881">
        <v>1.6</v>
      </c>
      <c r="F47" s="881">
        <v>0.1</v>
      </c>
      <c r="G47" s="883"/>
      <c r="H47" s="882">
        <v>0.89022342533885679</v>
      </c>
      <c r="I47" s="881" t="s">
        <v>452</v>
      </c>
      <c r="J47" s="884"/>
      <c r="K47" s="881">
        <v>0.89022342533885679</v>
      </c>
      <c r="L47" s="881" t="s">
        <v>452</v>
      </c>
      <c r="M47" s="885"/>
      <c r="N47" s="885"/>
      <c r="O47" s="882">
        <v>10.7</v>
      </c>
      <c r="P47" s="881">
        <v>1</v>
      </c>
      <c r="Q47" s="881">
        <v>9.6999999999999993</v>
      </c>
      <c r="R47" s="881">
        <v>0.9</v>
      </c>
      <c r="S47" s="883"/>
      <c r="T47" s="882">
        <v>6</v>
      </c>
      <c r="U47" s="881" t="s">
        <v>452</v>
      </c>
      <c r="V47" s="884"/>
      <c r="W47" s="881">
        <v>6</v>
      </c>
      <c r="X47" s="881" t="s">
        <v>452</v>
      </c>
      <c r="Z47" s="898"/>
      <c r="AA47" s="479" t="s">
        <v>1267</v>
      </c>
      <c r="AC47" s="718"/>
      <c r="AE47" s="7" t="s">
        <v>1022</v>
      </c>
      <c r="AF47" s="839">
        <v>1.8</v>
      </c>
      <c r="AG47" s="833">
        <v>0.2</v>
      </c>
      <c r="AH47" s="833">
        <v>1.6</v>
      </c>
      <c r="AI47" s="833">
        <v>0.1</v>
      </c>
      <c r="AJ47" s="832"/>
      <c r="AK47" s="839">
        <v>0.89022342533885679</v>
      </c>
      <c r="AL47" s="833" t="s">
        <v>452</v>
      </c>
      <c r="AM47" s="837"/>
      <c r="AN47" s="833">
        <v>0.89022342533885679</v>
      </c>
      <c r="AO47" s="833" t="s">
        <v>452</v>
      </c>
      <c r="AP47" s="834"/>
      <c r="AQ47" s="834"/>
      <c r="AR47" s="839">
        <v>10.7</v>
      </c>
      <c r="AS47" s="833">
        <v>1</v>
      </c>
      <c r="AT47" s="833">
        <v>9.6999999999999993</v>
      </c>
      <c r="AU47" s="833">
        <v>0.9</v>
      </c>
      <c r="AV47" s="832"/>
      <c r="AW47" s="839">
        <v>6</v>
      </c>
      <c r="AX47" s="833" t="s">
        <v>452</v>
      </c>
      <c r="AY47" s="837"/>
      <c r="AZ47" s="833">
        <v>6</v>
      </c>
      <c r="BA47" s="833" t="s">
        <v>452</v>
      </c>
    </row>
    <row r="48" spans="1:53">
      <c r="A48" s="7" t="s">
        <v>184</v>
      </c>
      <c r="B48" s="7" t="s">
        <v>184</v>
      </c>
      <c r="C48" s="896" t="str">
        <f>IF(ISNUMBER(INDEX('Database.Jan 12 to SEC'!$G$6:$G$191, MATCH($A48&amp;"USD bn", 'Database.Jan 12 to SEC'!$AD$6:$AD$191, 0))), INDEX('Database.Jan 12 to SEC'!$G$6:$G$191, MATCH($A48&amp;"USD bn", 'Database.Jan 12 to SEC'!$AD$6:$AD$191, 0)), "")</f>
        <v/>
      </c>
      <c r="D48" s="881" t="str">
        <f>IF(ISNUMBER(INDEX('Database.Jan 12 to SEC'!$H$6:$H$191, MATCH($A48&amp;"USD bn", 'Database.Jan 12 to SEC'!$AD$6:$AD$191, 0))), INDEX('Database.Jan 12 to SEC'!$H$6:$H$191, MATCH($A48&amp;"USD bn", 'Database.Jan 12 to SEC'!$AD$6:$AD$191, 0)), "")</f>
        <v/>
      </c>
      <c r="E48" s="881" t="str">
        <f>IF(ISNUMBER(INDEX('Database.Jan 12 to SEC'!$J$6:$J$191, MATCH($A48&amp;"USD bn", 'Database.Jan 12 to SEC'!$AD$6:$AD$191, 0))), INDEX('Database.Jan 12 to SEC'!$J$6:$J$191, MATCH($A48&amp;"USD bn", 'Database.Jan 12 to SEC'!$AD$6:$AD$191, 0)), "")</f>
        <v/>
      </c>
      <c r="F48" s="881" t="str">
        <f>IF(ISNUMBER(INDEX('Database.Jan 12 to SEC'!$L$6:$L$191, MATCH($A48&amp;"USD bn", 'Database.Jan 12 to SEC'!$AD$6:$AD$191, 0))), INDEX('Database.Jan 12 to SEC'!$L$6:$L$191, MATCH($A48&amp;"USD bn", 'Database.Jan 12 to SEC'!$AD$6:$AD$191, 0)), "")</f>
        <v/>
      </c>
      <c r="G48" s="883"/>
      <c r="H48" s="882" t="str">
        <f>IF(ISNUMBER(INDEX('Database.Jan 12 to SEC'!$P$6:$P$191, MATCH($A48&amp;"USD bn", 'Database.Jan 12 to SEC'!$AD$6:$AD$191, 0))), INDEX('Database.Jan 12 to SEC'!$P$6:$P$191, MATCH($A48&amp;"USD bn", 'Database.Jan 12 to SEC'!$AD$6:$AD$191, 0)), "")</f>
        <v/>
      </c>
      <c r="I48" s="881" t="str">
        <f>IF(ISNUMBER(INDEX('Database.Jan 12 to SEC'!$Q$6:$Q$191, MATCH($A48&amp;"USD bn", 'Database.Jan 12 to SEC'!$AD$6:$AD$191, 0))), INDEX('Database.Jan 12 to SEC'!$Q$6:$Q$191, MATCH($A48&amp;"USD bn", 'Database.Jan 12 to SEC'!$AD$6:$AD$191, 0)), "")</f>
        <v/>
      </c>
      <c r="J48" s="884"/>
      <c r="K48" s="881" t="str">
        <f>IF(ISNUMBER(INDEX('Database.Jan 12 to SEC'!$U$6:$U$191, MATCH($A48&amp;"USD bn", 'Database.Jan 12 to SEC'!$AD$6:$AD$191, 0))), INDEX('Database.Jan 12 to SEC'!$U$6:$U$191, MATCH($A48&amp;"USD bn", 'Database.Jan 12 to SEC'!$AD$6:$AD$191, 0)), "")</f>
        <v/>
      </c>
      <c r="L48" s="881" t="str">
        <f>IF(ISNUMBER(INDEX('Database.Jan 12 to SEC'!$W$6:$W$191, MATCH($A48&amp;"USD bn", 'Database.Jan 12 to SEC'!$AD$6:$AD$191, 0))), INDEX('Database.Jan 12 to SEC'!$W$6:$W$191, MATCH($A48&amp;"USD bn", 'Database.Jan 12 to SEC'!$AD$6:$AD$191, 0)), "")</f>
        <v/>
      </c>
      <c r="M48" s="885"/>
      <c r="N48" s="885"/>
      <c r="O48" s="882" t="str">
        <f>IF(ISNUMBER(INDEX('Database.Jan 12 to SEC'!$G$6:$G$191, MATCH($A48&amp;"% GDP", 'Database.Jan 12 to SEC'!$AD$6:$AD$191, 0))), INDEX('Database.Jan 12 to SEC'!$G$6:$G$191, MATCH($A48&amp;"% GDP", 'Database.Jan 12 to SEC'!$AD$6:$AD$191, 0)), "")</f>
        <v/>
      </c>
      <c r="P48" s="881" t="str">
        <f>IF(ISNUMBER(INDEX('Database.Jan 12 to SEC'!$H$6:$H$191, MATCH($A48&amp;"% GDP", 'Database.Jan 12 to SEC'!$AD$6:$AD$191, 0))), INDEX('Database.Jan 12 to SEC'!$H$6:$H$191, MATCH($A48&amp;"% GDP", 'Database.Jan 12 to SEC'!$AD$6:$AD$191, 0)), "")</f>
        <v/>
      </c>
      <c r="Q48" s="881" t="str">
        <f>IF(ISNUMBER(INDEX('Database.Jan 12 to SEC'!$J$6:$J$191, MATCH($A48&amp;"% GDP", 'Database.Jan 12 to SEC'!$AD$6:$AD$191, 0))), INDEX('Database.Jan 12 to SEC'!$J$6:$J$191, MATCH($A48&amp;"% GDP", 'Database.Jan 12 to SEC'!$AD$6:$AD$191, 0)), "")</f>
        <v/>
      </c>
      <c r="R48" s="881" t="str">
        <f>IF(ISNUMBER(INDEX('Database.Jan 12 to SEC'!$L$6:$L$191, MATCH($A48&amp;"% GDP", 'Database.Jan 12 to SEC'!$AD$6:$AD$191, 0))), INDEX('Database.Jan 12 to SEC'!$L$6:$L$191, MATCH($A48&amp;"% GDP", 'Database.Jan 12 to SEC'!$AD$6:$AD$191, 0)), "")</f>
        <v/>
      </c>
      <c r="S48" s="883"/>
      <c r="T48" s="882" t="str">
        <f>IF(ISNUMBER(INDEX('Database.Jan 12 to SEC'!$P$6:$P$191, MATCH($A48&amp;"% GDP", 'Database.Jan 12 to SEC'!$AD$6:$AD$191, 0))), INDEX('Database.Jan 12 to SEC'!$P$6:$P$191, MATCH($A48&amp;"% GDP", 'Database.Jan 12 to SEC'!$AD$6:$AD$191, 0)), "")</f>
        <v/>
      </c>
      <c r="U48" s="881" t="str">
        <f>IF(ISNUMBER(INDEX('Database.Jan 12 to SEC'!$Q$6:$Q$191, MATCH($A48&amp;"% GDP", 'Database.Jan 12 to SEC'!$AD$6:$AD$191, 0))), INDEX('Database.Jan 12 to SEC'!$Q$6:$Q$191, MATCH($A48&amp;"% GDP", 'Database.Jan 12 to SEC'!$AD$6:$AD$191, 0)), "")</f>
        <v/>
      </c>
      <c r="V48" s="884"/>
      <c r="W48" s="881" t="str">
        <f>IF(ISNUMBER(INDEX('Database.Jan 12 to SEC'!$U$6:$U$191, MATCH($A48&amp;"% GDP", 'Database.Jan 12 to SEC'!$AD$6:$AD$191, 0))), INDEX('Database.Jan 12 to SEC'!$U$6:$U$191, MATCH($A48&amp;"% GDP", 'Database.Jan 12 to SEC'!$AD$6:$AD$191, 0)), "")</f>
        <v/>
      </c>
      <c r="X48" s="881" t="str">
        <f>IF(ISNUMBER(INDEX('Database.Jan 12 to SEC'!$W$6:$W$191, MATCH($A48&amp;"% GDP", 'Database.Jan 12 to SEC'!$AD$6:$AD$191, 0))), INDEX('Database.Jan 12 to SEC'!$W$6:$W$191, MATCH($A48&amp;"% GDP", 'Database.Jan 12 to SEC'!$AD$6:$AD$191, 0)), "")</f>
        <v/>
      </c>
      <c r="Z48" s="898"/>
      <c r="AB48" s="479" t="s">
        <v>1269</v>
      </c>
      <c r="AC48" s="563"/>
      <c r="AE48" s="7" t="s">
        <v>184</v>
      </c>
      <c r="AF48" s="839">
        <v>93.92749702486816</v>
      </c>
      <c r="AG48" s="833">
        <v>18.94527886528325</v>
      </c>
      <c r="AH48" s="833">
        <v>74.982218159584903</v>
      </c>
      <c r="AI48" s="833">
        <v>13.124741382575744</v>
      </c>
      <c r="AJ48" s="832"/>
      <c r="AK48" s="839">
        <v>39.716608705533552</v>
      </c>
      <c r="AL48" s="833" t="s">
        <v>452</v>
      </c>
      <c r="AM48" s="837"/>
      <c r="AN48" s="833">
        <v>39.716608705533552</v>
      </c>
      <c r="AO48" s="833" t="s">
        <v>452</v>
      </c>
      <c r="AP48" s="834"/>
      <c r="AQ48" s="834"/>
      <c r="AR48" s="839">
        <v>10.2862785044276</v>
      </c>
      <c r="AS48" s="833">
        <v>2.0747536230072678</v>
      </c>
      <c r="AT48" s="833">
        <v>8.2115248814203312</v>
      </c>
      <c r="AU48" s="833">
        <v>1.4373293171435892</v>
      </c>
      <c r="AV48" s="832"/>
      <c r="AW48" s="839">
        <v>4.3494834988345135</v>
      </c>
      <c r="AX48" s="833" t="s">
        <v>452</v>
      </c>
      <c r="AY48" s="837"/>
      <c r="AZ48" s="833">
        <v>4.3494834988345135</v>
      </c>
      <c r="BA48" s="833" t="s">
        <v>452</v>
      </c>
    </row>
    <row r="49" spans="1:53">
      <c r="A49" s="7" t="s">
        <v>553</v>
      </c>
      <c r="B49" s="7" t="s">
        <v>553</v>
      </c>
      <c r="C49" s="896" t="str">
        <f>IF(ISNUMBER(INDEX('Database.Jan 12 to SEC'!$G$6:$G$191, MATCH($A49&amp;"USD bn", 'Database.Jan 12 to SEC'!$AD$6:$AD$191, 0))), INDEX('Database.Jan 12 to SEC'!$G$6:$G$191, MATCH($A49&amp;"USD bn", 'Database.Jan 12 to SEC'!$AD$6:$AD$191, 0)), "")</f>
        <v/>
      </c>
      <c r="D49" s="881" t="str">
        <f>IF(ISNUMBER(INDEX('Database.Jan 12 to SEC'!$H$6:$H$191, MATCH($A49&amp;"USD bn", 'Database.Jan 12 to SEC'!$AD$6:$AD$191, 0))), INDEX('Database.Jan 12 to SEC'!$H$6:$H$191, MATCH($A49&amp;"USD bn", 'Database.Jan 12 to SEC'!$AD$6:$AD$191, 0)), "")</f>
        <v/>
      </c>
      <c r="E49" s="881" t="str">
        <f>IF(ISNUMBER(INDEX('Database.Jan 12 to SEC'!$J$6:$J$191, MATCH($A49&amp;"USD bn", 'Database.Jan 12 to SEC'!$AD$6:$AD$191, 0))), INDEX('Database.Jan 12 to SEC'!$J$6:$J$191, MATCH($A49&amp;"USD bn", 'Database.Jan 12 to SEC'!$AD$6:$AD$191, 0)), "")</f>
        <v/>
      </c>
      <c r="F49" s="881" t="str">
        <f>IF(ISNUMBER(INDEX('Database.Jan 12 to SEC'!$L$6:$L$191, MATCH($A49&amp;"USD bn", 'Database.Jan 12 to SEC'!$AD$6:$AD$191, 0))), INDEX('Database.Jan 12 to SEC'!$L$6:$L$191, MATCH($A49&amp;"USD bn", 'Database.Jan 12 to SEC'!$AD$6:$AD$191, 0)), "")</f>
        <v/>
      </c>
      <c r="G49" s="883"/>
      <c r="H49" s="882" t="str">
        <f>IF(ISNUMBER(INDEX('Database.Jan 12 to SEC'!$P$6:$P$191, MATCH($A49&amp;"USD bn", 'Database.Jan 12 to SEC'!$AD$6:$AD$191, 0))), INDEX('Database.Jan 12 to SEC'!$P$6:$P$191, MATCH($A49&amp;"USD bn", 'Database.Jan 12 to SEC'!$AD$6:$AD$191, 0)), "")</f>
        <v/>
      </c>
      <c r="I49" s="881" t="str">
        <f>IF(ISNUMBER(INDEX('Database.Jan 12 to SEC'!$Q$6:$Q$191, MATCH($A49&amp;"USD bn", 'Database.Jan 12 to SEC'!$AD$6:$AD$191, 0))), INDEX('Database.Jan 12 to SEC'!$Q$6:$Q$191, MATCH($A49&amp;"USD bn", 'Database.Jan 12 to SEC'!$AD$6:$AD$191, 0)), "")</f>
        <v/>
      </c>
      <c r="J49" s="884"/>
      <c r="K49" s="881" t="str">
        <f>IF(ISNUMBER(INDEX('Database.Jan 12 to SEC'!$U$6:$U$191, MATCH($A49&amp;"USD bn", 'Database.Jan 12 to SEC'!$AD$6:$AD$191, 0))), INDEX('Database.Jan 12 to SEC'!$U$6:$U$191, MATCH($A49&amp;"USD bn", 'Database.Jan 12 to SEC'!$AD$6:$AD$191, 0)), "")</f>
        <v/>
      </c>
      <c r="L49" s="881" t="str">
        <f>IF(ISNUMBER(INDEX('Database.Jan 12 to SEC'!$W$6:$W$191, MATCH($A49&amp;"USD bn", 'Database.Jan 12 to SEC'!$AD$6:$AD$191, 0))), INDEX('Database.Jan 12 to SEC'!$W$6:$W$191, MATCH($A49&amp;"USD bn", 'Database.Jan 12 to SEC'!$AD$6:$AD$191, 0)), "")</f>
        <v/>
      </c>
      <c r="M49" s="885"/>
      <c r="N49" s="885"/>
      <c r="O49" s="882" t="str">
        <f>IF(ISNUMBER(INDEX('Database.Jan 12 to SEC'!$G$6:$G$191, MATCH($A49&amp;"% GDP", 'Database.Jan 12 to SEC'!$AD$6:$AD$191, 0))), INDEX('Database.Jan 12 to SEC'!$G$6:$G$191, MATCH($A49&amp;"% GDP", 'Database.Jan 12 to SEC'!$AD$6:$AD$191, 0)), "")</f>
        <v/>
      </c>
      <c r="P49" s="881" t="str">
        <f>IF(ISNUMBER(INDEX('Database.Jan 12 to SEC'!$H$6:$H$191, MATCH($A49&amp;"% GDP", 'Database.Jan 12 to SEC'!$AD$6:$AD$191, 0))), INDEX('Database.Jan 12 to SEC'!$H$6:$H$191, MATCH($A49&amp;"% GDP", 'Database.Jan 12 to SEC'!$AD$6:$AD$191, 0)), "")</f>
        <v/>
      </c>
      <c r="Q49" s="881" t="str">
        <f>IF(ISNUMBER(INDEX('Database.Jan 12 to SEC'!$J$6:$J$191, MATCH($A49&amp;"% GDP", 'Database.Jan 12 to SEC'!$AD$6:$AD$191, 0))), INDEX('Database.Jan 12 to SEC'!$J$6:$J$191, MATCH($A49&amp;"% GDP", 'Database.Jan 12 to SEC'!$AD$6:$AD$191, 0)), "")</f>
        <v/>
      </c>
      <c r="R49" s="881" t="str">
        <f>IF(ISNUMBER(INDEX('Database.Jan 12 to SEC'!$L$6:$L$191, MATCH($A49&amp;"% GDP", 'Database.Jan 12 to SEC'!$AD$6:$AD$191, 0))), INDEX('Database.Jan 12 to SEC'!$L$6:$L$191, MATCH($A49&amp;"% GDP", 'Database.Jan 12 to SEC'!$AD$6:$AD$191, 0)), "")</f>
        <v/>
      </c>
      <c r="S49" s="883"/>
      <c r="T49" s="882" t="str">
        <f>IF(ISNUMBER(INDEX('Database.Jan 12 to SEC'!$P$6:$P$191, MATCH($A49&amp;"% GDP", 'Database.Jan 12 to SEC'!$AD$6:$AD$191, 0))), INDEX('Database.Jan 12 to SEC'!$P$6:$P$191, MATCH($A49&amp;"% GDP", 'Database.Jan 12 to SEC'!$AD$6:$AD$191, 0)), "")</f>
        <v/>
      </c>
      <c r="U49" s="881" t="str">
        <f>IF(ISNUMBER(INDEX('Database.Jan 12 to SEC'!$Q$6:$Q$191, MATCH($A49&amp;"% GDP", 'Database.Jan 12 to SEC'!$AD$6:$AD$191, 0))), INDEX('Database.Jan 12 to SEC'!$Q$6:$Q$191, MATCH($A49&amp;"% GDP", 'Database.Jan 12 to SEC'!$AD$6:$AD$191, 0)), "")</f>
        <v/>
      </c>
      <c r="V49" s="884"/>
      <c r="W49" s="881" t="str">
        <f>IF(ISNUMBER(INDEX('Database.Jan 12 to SEC'!$U$6:$U$191, MATCH($A49&amp;"% GDP", 'Database.Jan 12 to SEC'!$AD$6:$AD$191, 0))), INDEX('Database.Jan 12 to SEC'!$U$6:$U$191, MATCH($A49&amp;"% GDP", 'Database.Jan 12 to SEC'!$AD$6:$AD$191, 0)), "")</f>
        <v/>
      </c>
      <c r="X49" s="881" t="str">
        <f>IF(ISNUMBER(INDEX('Database.Jan 12 to SEC'!$W$6:$W$191, MATCH($A49&amp;"% GDP", 'Database.Jan 12 to SEC'!$AD$6:$AD$191, 0))), INDEX('Database.Jan 12 to SEC'!$W$6:$W$191, MATCH($A49&amp;"% GDP", 'Database.Jan 12 to SEC'!$AD$6:$AD$191, 0)), "")</f>
        <v/>
      </c>
      <c r="Z49" s="898"/>
      <c r="AA49" s="479" t="s">
        <v>1267</v>
      </c>
      <c r="AC49" s="563"/>
      <c r="AE49" s="7" t="s">
        <v>553</v>
      </c>
      <c r="AF49" s="839">
        <v>40.366333649903929</v>
      </c>
      <c r="AG49" s="833">
        <v>3.3151095268037039</v>
      </c>
      <c r="AH49" s="833">
        <v>37.051224123100226</v>
      </c>
      <c r="AI49" s="833" t="s">
        <v>452</v>
      </c>
      <c r="AJ49" s="832"/>
      <c r="AK49" s="839">
        <v>4.0951352978163404</v>
      </c>
      <c r="AL49" s="833">
        <v>2.2100730178691359</v>
      </c>
      <c r="AM49" s="837"/>
      <c r="AN49" s="833">
        <v>1.8850622799472043</v>
      </c>
      <c r="AO49" s="833" t="s">
        <v>452</v>
      </c>
      <c r="AP49" s="834"/>
      <c r="AQ49" s="834"/>
      <c r="AR49" s="839">
        <v>19.27864943902545</v>
      </c>
      <c r="AS49" s="833">
        <v>1.5832707268764863</v>
      </c>
      <c r="AT49" s="833">
        <v>17.695378712148965</v>
      </c>
      <c r="AU49" s="833" t="s">
        <v>452</v>
      </c>
      <c r="AV49" s="832"/>
      <c r="AW49" s="839">
        <v>1.9558050155533067</v>
      </c>
      <c r="AX49" s="833">
        <v>1.0555138179176575</v>
      </c>
      <c r="AY49" s="837"/>
      <c r="AZ49" s="833">
        <v>0.90029119763564913</v>
      </c>
      <c r="BA49" s="833" t="s">
        <v>452</v>
      </c>
    </row>
    <row r="50" spans="1:53">
      <c r="A50" s="7" t="s">
        <v>36</v>
      </c>
      <c r="B50" s="7" t="s">
        <v>36</v>
      </c>
      <c r="C50" s="896" t="str">
        <f>IF(ISNUMBER(INDEX('Database.Jan 12 to SEC'!$G$6:$G$191, MATCH($A50&amp;"USD bn", 'Database.Jan 12 to SEC'!$AD$6:$AD$191, 0))), INDEX('Database.Jan 12 to SEC'!$G$6:$G$191, MATCH($A50&amp;"USD bn", 'Database.Jan 12 to SEC'!$AD$6:$AD$191, 0)), "")</f>
        <v/>
      </c>
      <c r="D50" s="881" t="str">
        <f>IF(ISNUMBER(INDEX('Database.Jan 12 to SEC'!$H$6:$H$191, MATCH($A50&amp;"USD bn", 'Database.Jan 12 to SEC'!$AD$6:$AD$191, 0))), INDEX('Database.Jan 12 to SEC'!$H$6:$H$191, MATCH($A50&amp;"USD bn", 'Database.Jan 12 to SEC'!$AD$6:$AD$191, 0)), "")</f>
        <v/>
      </c>
      <c r="E50" s="881" t="str">
        <f>IF(ISNUMBER(INDEX('Database.Jan 12 to SEC'!$J$6:$J$191, MATCH($A50&amp;"USD bn", 'Database.Jan 12 to SEC'!$AD$6:$AD$191, 0))), INDEX('Database.Jan 12 to SEC'!$J$6:$J$191, MATCH($A50&amp;"USD bn", 'Database.Jan 12 to SEC'!$AD$6:$AD$191, 0)), "")</f>
        <v/>
      </c>
      <c r="F50" s="881" t="str">
        <f>IF(ISNUMBER(INDEX('Database.Jan 12 to SEC'!$L$6:$L$191, MATCH($A50&amp;"USD bn", 'Database.Jan 12 to SEC'!$AD$6:$AD$191, 0))), INDEX('Database.Jan 12 to SEC'!$L$6:$L$191, MATCH($A50&amp;"USD bn", 'Database.Jan 12 to SEC'!$AD$6:$AD$191, 0)), "")</f>
        <v/>
      </c>
      <c r="G50" s="883"/>
      <c r="H50" s="882" t="str">
        <f>IF(ISNUMBER(INDEX('Database.Jan 12 to SEC'!$P$6:$P$191, MATCH($A50&amp;"USD bn", 'Database.Jan 12 to SEC'!$AD$6:$AD$191, 0))), INDEX('Database.Jan 12 to SEC'!$P$6:$P$191, MATCH($A50&amp;"USD bn", 'Database.Jan 12 to SEC'!$AD$6:$AD$191, 0)), "")</f>
        <v/>
      </c>
      <c r="I50" s="881" t="str">
        <f>IF(ISNUMBER(INDEX('Database.Jan 12 to SEC'!$Q$6:$Q$191, MATCH($A50&amp;"USD bn", 'Database.Jan 12 to SEC'!$AD$6:$AD$191, 0))), INDEX('Database.Jan 12 to SEC'!$Q$6:$Q$191, MATCH($A50&amp;"USD bn", 'Database.Jan 12 to SEC'!$AD$6:$AD$191, 0)), "")</f>
        <v/>
      </c>
      <c r="J50" s="884"/>
      <c r="K50" s="881" t="str">
        <f>IF(ISNUMBER(INDEX('Database.Jan 12 to SEC'!$U$6:$U$191, MATCH($A50&amp;"USD bn", 'Database.Jan 12 to SEC'!$AD$6:$AD$191, 0))), INDEX('Database.Jan 12 to SEC'!$U$6:$U$191, MATCH($A50&amp;"USD bn", 'Database.Jan 12 to SEC'!$AD$6:$AD$191, 0)), "")</f>
        <v/>
      </c>
      <c r="L50" s="881" t="str">
        <f>IF(ISNUMBER(INDEX('Database.Jan 12 to SEC'!$W$6:$W$191, MATCH($A50&amp;"USD bn", 'Database.Jan 12 to SEC'!$AD$6:$AD$191, 0))), INDEX('Database.Jan 12 to SEC'!$W$6:$W$191, MATCH($A50&amp;"USD bn", 'Database.Jan 12 to SEC'!$AD$6:$AD$191, 0)), "")</f>
        <v/>
      </c>
      <c r="M50" s="885"/>
      <c r="N50" s="885"/>
      <c r="O50" s="882" t="str">
        <f>IF(ISNUMBER(INDEX('Database.Jan 12 to SEC'!$G$6:$G$191, MATCH($A50&amp;"% GDP", 'Database.Jan 12 to SEC'!$AD$6:$AD$191, 0))), INDEX('Database.Jan 12 to SEC'!$G$6:$G$191, MATCH($A50&amp;"% GDP", 'Database.Jan 12 to SEC'!$AD$6:$AD$191, 0)), "")</f>
        <v/>
      </c>
      <c r="P50" s="881" t="str">
        <f>IF(ISNUMBER(INDEX('Database.Jan 12 to SEC'!$H$6:$H$191, MATCH($A50&amp;"% GDP", 'Database.Jan 12 to SEC'!$AD$6:$AD$191, 0))), INDEX('Database.Jan 12 to SEC'!$H$6:$H$191, MATCH($A50&amp;"% GDP", 'Database.Jan 12 to SEC'!$AD$6:$AD$191, 0)), "")</f>
        <v/>
      </c>
      <c r="Q50" s="881" t="str">
        <f>IF(ISNUMBER(INDEX('Database.Jan 12 to SEC'!$J$6:$J$191, MATCH($A50&amp;"% GDP", 'Database.Jan 12 to SEC'!$AD$6:$AD$191, 0))), INDEX('Database.Jan 12 to SEC'!$J$6:$J$191, MATCH($A50&amp;"% GDP", 'Database.Jan 12 to SEC'!$AD$6:$AD$191, 0)), "")</f>
        <v/>
      </c>
      <c r="R50" s="881" t="str">
        <f>IF(ISNUMBER(INDEX('Database.Jan 12 to SEC'!$L$6:$L$191, MATCH($A50&amp;"% GDP", 'Database.Jan 12 to SEC'!$AD$6:$AD$191, 0))), INDEX('Database.Jan 12 to SEC'!$L$6:$L$191, MATCH($A50&amp;"% GDP", 'Database.Jan 12 to SEC'!$AD$6:$AD$191, 0)), "")</f>
        <v/>
      </c>
      <c r="S50" s="883"/>
      <c r="T50" s="882" t="str">
        <f>IF(ISNUMBER(INDEX('Database.Jan 12 to SEC'!$P$6:$P$191, MATCH($A50&amp;"% GDP", 'Database.Jan 12 to SEC'!$AD$6:$AD$191, 0))), INDEX('Database.Jan 12 to SEC'!$P$6:$P$191, MATCH($A50&amp;"% GDP", 'Database.Jan 12 to SEC'!$AD$6:$AD$191, 0)), "")</f>
        <v/>
      </c>
      <c r="U50" s="881" t="str">
        <f>IF(ISNUMBER(INDEX('Database.Jan 12 to SEC'!$Q$6:$Q$191, MATCH($A50&amp;"% GDP", 'Database.Jan 12 to SEC'!$AD$6:$AD$191, 0))), INDEX('Database.Jan 12 to SEC'!$Q$6:$Q$191, MATCH($A50&amp;"% GDP", 'Database.Jan 12 to SEC'!$AD$6:$AD$191, 0)), "")</f>
        <v/>
      </c>
      <c r="V50" s="884"/>
      <c r="W50" s="881" t="str">
        <f>IF(ISNUMBER(INDEX('Database.Jan 12 to SEC'!$U$6:$U$191, MATCH($A50&amp;"% GDP", 'Database.Jan 12 to SEC'!$AD$6:$AD$191, 0))), INDEX('Database.Jan 12 to SEC'!$U$6:$U$191, MATCH($A50&amp;"% GDP", 'Database.Jan 12 to SEC'!$AD$6:$AD$191, 0)), "")</f>
        <v/>
      </c>
      <c r="X50" s="881" t="str">
        <f>IF(ISNUMBER(INDEX('Database.Jan 12 to SEC'!$W$6:$W$191, MATCH($A50&amp;"% GDP", 'Database.Jan 12 to SEC'!$AD$6:$AD$191, 0))), INDEX('Database.Jan 12 to SEC'!$W$6:$W$191, MATCH($A50&amp;"% GDP", 'Database.Jan 12 to SEC'!$AD$6:$AD$191, 0)), "")</f>
        <v/>
      </c>
      <c r="Z50" s="898"/>
      <c r="AB50" s="514"/>
      <c r="AC50" s="563"/>
      <c r="AE50" s="7" t="s">
        <v>36</v>
      </c>
      <c r="AF50" s="839">
        <v>23.917160810691193</v>
      </c>
      <c r="AG50" s="833">
        <v>2.6232409947782966</v>
      </c>
      <c r="AH50" s="833">
        <v>21.293919815912897</v>
      </c>
      <c r="AI50" s="833" t="s">
        <v>452</v>
      </c>
      <c r="AJ50" s="832"/>
      <c r="AK50" s="839">
        <v>14.603062217895378</v>
      </c>
      <c r="AL50" s="833">
        <v>6.3191432870165452</v>
      </c>
      <c r="AM50" s="837"/>
      <c r="AN50" s="833">
        <v>8.2839189308788317</v>
      </c>
      <c r="AO50" s="833" t="s">
        <v>452</v>
      </c>
      <c r="AP50" s="834"/>
      <c r="AQ50" s="834"/>
      <c r="AR50" s="839">
        <v>7.4022943167997886</v>
      </c>
      <c r="AS50" s="833">
        <v>0.81188574433816507</v>
      </c>
      <c r="AT50" s="833">
        <v>6.590408572461623</v>
      </c>
      <c r="AU50" s="833" t="s">
        <v>452</v>
      </c>
      <c r="AV50" s="832"/>
      <c r="AW50" s="839">
        <v>4.5196068763764252</v>
      </c>
      <c r="AX50" s="833">
        <v>1.9557571574137986</v>
      </c>
      <c r="AY50" s="837"/>
      <c r="AZ50" s="833">
        <v>2.563849718962627</v>
      </c>
      <c r="BA50" s="833" t="s">
        <v>452</v>
      </c>
    </row>
    <row r="51" spans="1:53">
      <c r="A51" s="7" t="s">
        <v>1023</v>
      </c>
      <c r="B51" s="7" t="s">
        <v>1023</v>
      </c>
      <c r="C51" s="896">
        <v>13.809510498188393</v>
      </c>
      <c r="D51" s="881">
        <v>2.5108200905797076</v>
      </c>
      <c r="E51" s="881">
        <v>11.298690407608685</v>
      </c>
      <c r="F51" s="881">
        <v>1.2554100452898538</v>
      </c>
      <c r="G51" s="883"/>
      <c r="H51" s="882">
        <v>13.124741382575744</v>
      </c>
      <c r="I51" s="881" t="str">
        <f>IF(ISNUMBER(INDEX('Database.Jan 12 to SEC'!$Q$6:$Q$191, MATCH($A51&amp;"USD bn", 'Database.Jan 12 to SEC'!$AD$6:$AD$191, 0))), INDEX('Database.Jan 12 to SEC'!$Q$6:$Q$191, MATCH($A51&amp;"USD bn", 'Database.Jan 12 to SEC'!$AD$6:$AD$191, 0)), "")</f>
        <v/>
      </c>
      <c r="J51" s="884"/>
      <c r="K51" s="881">
        <v>13.124741382575744</v>
      </c>
      <c r="L51" s="881" t="s">
        <v>452</v>
      </c>
      <c r="M51" s="885"/>
      <c r="N51" s="885"/>
      <c r="O51" s="882">
        <v>6.047351260148055</v>
      </c>
      <c r="P51" s="881">
        <v>1.0995184109360101</v>
      </c>
      <c r="Q51" s="881">
        <v>4.9478328492120447</v>
      </c>
      <c r="R51" s="881">
        <v>0.54975920546800505</v>
      </c>
      <c r="S51" s="883"/>
      <c r="T51" s="882">
        <v>5.7474826026200523</v>
      </c>
      <c r="U51" s="881" t="str">
        <f>IF(ISNUMBER(INDEX('Database.Jan 12 to SEC'!$Q$6:$Q$191, MATCH($A51&amp;"% GDP", 'Database.Jan 12 to SEC'!$AD$6:$AD$191, 0))), INDEX('Database.Jan 12 to SEC'!$Q$6:$Q$191, MATCH($A51&amp;"% GDP", 'Database.Jan 12 to SEC'!$AD$6:$AD$191, 0)), "")</f>
        <v/>
      </c>
      <c r="V51" s="884"/>
      <c r="W51" s="881">
        <v>5.7474826026200523</v>
      </c>
      <c r="X51" s="881" t="s">
        <v>452</v>
      </c>
      <c r="Z51" s="898"/>
      <c r="AA51" s="479" t="s">
        <v>1267</v>
      </c>
      <c r="AB51" s="891" t="s">
        <v>1317</v>
      </c>
      <c r="AC51" s="718"/>
      <c r="AE51" s="7" t="s">
        <v>1023</v>
      </c>
      <c r="AF51" s="839">
        <v>13.809510498188393</v>
      </c>
      <c r="AG51" s="833">
        <v>2.5108200905797076</v>
      </c>
      <c r="AH51" s="833">
        <v>11.298690407608685</v>
      </c>
      <c r="AI51" s="833">
        <v>1.2554100452898538</v>
      </c>
      <c r="AJ51" s="832"/>
      <c r="AK51" s="839">
        <v>13.124741382575744</v>
      </c>
      <c r="AL51" s="833" t="s">
        <v>452</v>
      </c>
      <c r="AM51" s="837"/>
      <c r="AN51" s="833">
        <v>13.124741382575744</v>
      </c>
      <c r="AO51" s="833" t="s">
        <v>452</v>
      </c>
      <c r="AP51" s="834"/>
      <c r="AQ51" s="834"/>
      <c r="AR51" s="839">
        <v>6.047351260148055</v>
      </c>
      <c r="AS51" s="833">
        <v>1.0995184109360101</v>
      </c>
      <c r="AT51" s="833">
        <v>4.9478328492120447</v>
      </c>
      <c r="AU51" s="833">
        <v>0.54975920546800505</v>
      </c>
      <c r="AV51" s="832"/>
      <c r="AW51" s="839">
        <v>5.7474826026200523</v>
      </c>
      <c r="AX51" s="833" t="s">
        <v>452</v>
      </c>
      <c r="AY51" s="837"/>
      <c r="AZ51" s="833">
        <v>5.7474826026200523</v>
      </c>
      <c r="BA51" s="833" t="s">
        <v>452</v>
      </c>
    </row>
    <row r="52" spans="1:53" hidden="1">
      <c r="A52" s="7" t="s">
        <v>1024</v>
      </c>
      <c r="B52" s="7" t="s">
        <v>1024</v>
      </c>
      <c r="C52" s="896">
        <v>1.1412818593544125E-2</v>
      </c>
      <c r="D52" s="881" t="s">
        <v>452</v>
      </c>
      <c r="E52" s="881" t="s">
        <v>452</v>
      </c>
      <c r="F52" s="881" t="s">
        <v>452</v>
      </c>
      <c r="G52" s="883"/>
      <c r="H52" s="882" t="s">
        <v>452</v>
      </c>
      <c r="I52" s="881" t="s">
        <v>452</v>
      </c>
      <c r="J52" s="884"/>
      <c r="K52" s="881" t="s">
        <v>452</v>
      </c>
      <c r="L52" s="881" t="s">
        <v>452</v>
      </c>
      <c r="M52" s="885"/>
      <c r="N52" s="885"/>
      <c r="O52" s="882">
        <v>0.73446874930825812</v>
      </c>
      <c r="P52" s="881" t="s">
        <v>452</v>
      </c>
      <c r="Q52" s="881" t="s">
        <v>452</v>
      </c>
      <c r="R52" s="881" t="s">
        <v>452</v>
      </c>
      <c r="S52" s="883"/>
      <c r="T52" s="882" t="s">
        <v>452</v>
      </c>
      <c r="U52" s="881" t="s">
        <v>452</v>
      </c>
      <c r="V52" s="884"/>
      <c r="W52" s="881" t="s">
        <v>452</v>
      </c>
      <c r="X52" s="881" t="s">
        <v>452</v>
      </c>
      <c r="Z52" s="898"/>
      <c r="AC52" s="718"/>
      <c r="AE52" s="7" t="s">
        <v>1024</v>
      </c>
      <c r="AF52" s="839">
        <v>1.1412818593544125E-2</v>
      </c>
      <c r="AG52" s="833" t="s">
        <v>452</v>
      </c>
      <c r="AH52" s="833" t="s">
        <v>452</v>
      </c>
      <c r="AI52" s="833" t="s">
        <v>452</v>
      </c>
      <c r="AJ52" s="832"/>
      <c r="AK52" s="839" t="s">
        <v>452</v>
      </c>
      <c r="AL52" s="833" t="s">
        <v>452</v>
      </c>
      <c r="AM52" s="837"/>
      <c r="AN52" s="833" t="s">
        <v>452</v>
      </c>
      <c r="AO52" s="833" t="s">
        <v>452</v>
      </c>
      <c r="AP52" s="834"/>
      <c r="AQ52" s="834"/>
      <c r="AR52" s="839">
        <v>0.73446874930825812</v>
      </c>
      <c r="AS52" s="833" t="s">
        <v>452</v>
      </c>
      <c r="AT52" s="833" t="s">
        <v>452</v>
      </c>
      <c r="AU52" s="833" t="s">
        <v>452</v>
      </c>
      <c r="AV52" s="832"/>
      <c r="AW52" s="839" t="s">
        <v>452</v>
      </c>
      <c r="AX52" s="833" t="s">
        <v>452</v>
      </c>
      <c r="AY52" s="837"/>
      <c r="AZ52" s="833" t="s">
        <v>452</v>
      </c>
      <c r="BA52" s="833" t="s">
        <v>452</v>
      </c>
    </row>
    <row r="53" spans="1:53">
      <c r="A53" s="7" t="s">
        <v>31</v>
      </c>
      <c r="B53" s="7" t="s">
        <v>31</v>
      </c>
      <c r="C53" s="896" t="str">
        <f>IF(ISNUMBER(INDEX('Database.Jan 12 to SEC'!$G$6:$G$191, MATCH($A53&amp;"USD bn", 'Database.Jan 12 to SEC'!$AD$6:$AD$191, 0))), INDEX('Database.Jan 12 to SEC'!$G$6:$G$191, MATCH($A53&amp;"USD bn", 'Database.Jan 12 to SEC'!$AD$6:$AD$191, 0)), "")</f>
        <v/>
      </c>
      <c r="D53" s="881" t="str">
        <f>IF(ISNUMBER(INDEX('Database.Jan 12 to SEC'!$H$6:$H$191, MATCH($A53&amp;"USD bn", 'Database.Jan 12 to SEC'!$AD$6:$AD$191, 0))), INDEX('Database.Jan 12 to SEC'!$H$6:$H$191, MATCH($A53&amp;"USD bn", 'Database.Jan 12 to SEC'!$AD$6:$AD$191, 0)), "")</f>
        <v/>
      </c>
      <c r="E53" s="881" t="str">
        <f>IF(ISNUMBER(INDEX('Database.Jan 12 to SEC'!$J$6:$J$191, MATCH($A53&amp;"USD bn", 'Database.Jan 12 to SEC'!$AD$6:$AD$191, 0))), INDEX('Database.Jan 12 to SEC'!$J$6:$J$191, MATCH($A53&amp;"USD bn", 'Database.Jan 12 to SEC'!$AD$6:$AD$191, 0)), "")</f>
        <v/>
      </c>
      <c r="F53" s="881" t="str">
        <f>IF(ISNUMBER(INDEX('Database.Jan 12 to SEC'!$L$6:$L$191, MATCH($A53&amp;"USD bn", 'Database.Jan 12 to SEC'!$AD$6:$AD$191, 0))), INDEX('Database.Jan 12 to SEC'!$L$6:$L$191, MATCH($A53&amp;"USD bn", 'Database.Jan 12 to SEC'!$AD$6:$AD$191, 0)), "")</f>
        <v/>
      </c>
      <c r="G53" s="883"/>
      <c r="H53" s="882" t="str">
        <f>IF(ISNUMBER(INDEX('Database.Jan 12 to SEC'!$P$6:$P$191, MATCH($A53&amp;"USD bn", 'Database.Jan 12 to SEC'!$AD$6:$AD$191, 0))), INDEX('Database.Jan 12 to SEC'!$P$6:$P$191, MATCH($A53&amp;"USD bn", 'Database.Jan 12 to SEC'!$AD$6:$AD$191, 0)), "")</f>
        <v/>
      </c>
      <c r="I53" s="881" t="str">
        <f>IF(ISNUMBER(INDEX('Database.Jan 12 to SEC'!$Q$6:$Q$191, MATCH($A53&amp;"USD bn", 'Database.Jan 12 to SEC'!$AD$6:$AD$191, 0))), INDEX('Database.Jan 12 to SEC'!$Q$6:$Q$191, MATCH($A53&amp;"USD bn", 'Database.Jan 12 to SEC'!$AD$6:$AD$191, 0)), "")</f>
        <v/>
      </c>
      <c r="J53" s="884"/>
      <c r="K53" s="881" t="str">
        <f>IF(ISNUMBER(INDEX('Database.Jan 12 to SEC'!$U$6:$U$191, MATCH($A53&amp;"USD bn", 'Database.Jan 12 to SEC'!$AD$6:$AD$191, 0))), INDEX('Database.Jan 12 to SEC'!$U$6:$U$191, MATCH($A53&amp;"USD bn", 'Database.Jan 12 to SEC'!$AD$6:$AD$191, 0)), "")</f>
        <v/>
      </c>
      <c r="L53" s="881" t="str">
        <f>IF(ISNUMBER(INDEX('Database.Jan 12 to SEC'!$W$6:$W$191, MATCH($A53&amp;"USD bn", 'Database.Jan 12 to SEC'!$AD$6:$AD$191, 0))), INDEX('Database.Jan 12 to SEC'!$W$6:$W$191, MATCH($A53&amp;"USD bn", 'Database.Jan 12 to SEC'!$AD$6:$AD$191, 0)), "")</f>
        <v/>
      </c>
      <c r="M53" s="885"/>
      <c r="N53" s="885"/>
      <c r="O53" s="882" t="str">
        <f>IF(ISNUMBER(INDEX('Database.Jan 12 to SEC'!$G$6:$G$191, MATCH($A53&amp;"% GDP", 'Database.Jan 12 to SEC'!$AD$6:$AD$191, 0))), INDEX('Database.Jan 12 to SEC'!$G$6:$G$191, MATCH($A53&amp;"% GDP", 'Database.Jan 12 to SEC'!$AD$6:$AD$191, 0)), "")</f>
        <v/>
      </c>
      <c r="P53" s="881" t="str">
        <f>IF(ISNUMBER(INDEX('Database.Jan 12 to SEC'!$H$6:$H$191, MATCH($A53&amp;"% GDP", 'Database.Jan 12 to SEC'!$AD$6:$AD$191, 0))), INDEX('Database.Jan 12 to SEC'!$H$6:$H$191, MATCH($A53&amp;"% GDP", 'Database.Jan 12 to SEC'!$AD$6:$AD$191, 0)), "")</f>
        <v/>
      </c>
      <c r="Q53" s="881" t="str">
        <f>IF(ISNUMBER(INDEX('Database.Jan 12 to SEC'!$J$6:$J$191, MATCH($A53&amp;"% GDP", 'Database.Jan 12 to SEC'!$AD$6:$AD$191, 0))), INDEX('Database.Jan 12 to SEC'!$J$6:$J$191, MATCH($A53&amp;"% GDP", 'Database.Jan 12 to SEC'!$AD$6:$AD$191, 0)), "")</f>
        <v/>
      </c>
      <c r="R53" s="881" t="str">
        <f>IF(ISNUMBER(INDEX('Database.Jan 12 to SEC'!$L$6:$L$191, MATCH($A53&amp;"% GDP", 'Database.Jan 12 to SEC'!$AD$6:$AD$191, 0))), INDEX('Database.Jan 12 to SEC'!$L$6:$L$191, MATCH($A53&amp;"% GDP", 'Database.Jan 12 to SEC'!$AD$6:$AD$191, 0)), "")</f>
        <v/>
      </c>
      <c r="S53" s="883"/>
      <c r="T53" s="882" t="str">
        <f>IF(ISNUMBER(INDEX('Database.Jan 12 to SEC'!$P$6:$P$191, MATCH($A53&amp;"% GDP", 'Database.Jan 12 to SEC'!$AD$6:$AD$191, 0))), INDEX('Database.Jan 12 to SEC'!$P$6:$P$191, MATCH($A53&amp;"% GDP", 'Database.Jan 12 to SEC'!$AD$6:$AD$191, 0)), "")</f>
        <v/>
      </c>
      <c r="U53" s="881" t="str">
        <f>IF(ISNUMBER(INDEX('Database.Jan 12 to SEC'!$Q$6:$Q$191, MATCH($A53&amp;"% GDP", 'Database.Jan 12 to SEC'!$AD$6:$AD$191, 0))), INDEX('Database.Jan 12 to SEC'!$Q$6:$Q$191, MATCH($A53&amp;"% GDP", 'Database.Jan 12 to SEC'!$AD$6:$AD$191, 0)), "")</f>
        <v/>
      </c>
      <c r="V53" s="884"/>
      <c r="W53" s="881" t="str">
        <f>IF(ISNUMBER(INDEX('Database.Jan 12 to SEC'!$U$6:$U$191, MATCH($A53&amp;"% GDP", 'Database.Jan 12 to SEC'!$AD$6:$AD$191, 0))), INDEX('Database.Jan 12 to SEC'!$U$6:$U$191, MATCH($A53&amp;"% GDP", 'Database.Jan 12 to SEC'!$AD$6:$AD$191, 0)), "")</f>
        <v/>
      </c>
      <c r="X53" s="881" t="str">
        <f>IF(ISNUMBER(INDEX('Database.Jan 12 to SEC'!$W$6:$W$191, MATCH($A53&amp;"% GDP", 'Database.Jan 12 to SEC'!$AD$6:$AD$191, 0))), INDEX('Database.Jan 12 to SEC'!$W$6:$W$191, MATCH($A53&amp;"% GDP", 'Database.Jan 12 to SEC'!$AD$6:$AD$191, 0)), "")</f>
        <v/>
      </c>
      <c r="Z53" s="898"/>
      <c r="AA53" s="479" t="s">
        <v>1267</v>
      </c>
      <c r="AC53" s="563"/>
      <c r="AE53" s="7" t="s">
        <v>31</v>
      </c>
      <c r="AF53" s="839">
        <v>62.546527888588585</v>
      </c>
      <c r="AG53" s="833">
        <v>13.480479938907852</v>
      </c>
      <c r="AH53" s="833">
        <v>49.066047949680737</v>
      </c>
      <c r="AI53" s="833" t="s">
        <v>452</v>
      </c>
      <c r="AJ53" s="832"/>
      <c r="AK53" s="839">
        <v>15.94465369118133</v>
      </c>
      <c r="AL53" s="833">
        <v>15.94465369118133</v>
      </c>
      <c r="AM53" s="837"/>
      <c r="AN53" s="833" t="s">
        <v>452</v>
      </c>
      <c r="AO53" s="833" t="s">
        <v>452</v>
      </c>
      <c r="AP53" s="834"/>
      <c r="AQ53" s="834"/>
      <c r="AR53" s="839">
        <v>18.39709108521307</v>
      </c>
      <c r="AS53" s="833">
        <v>3.9650740925256436</v>
      </c>
      <c r="AT53" s="833">
        <v>14.432016992687426</v>
      </c>
      <c r="AU53" s="833" t="s">
        <v>452</v>
      </c>
      <c r="AV53" s="832"/>
      <c r="AW53" s="839">
        <v>4.6898725825572125</v>
      </c>
      <c r="AX53" s="833">
        <v>4.6898725825572125</v>
      </c>
      <c r="AY53" s="837"/>
      <c r="AZ53" s="833" t="s">
        <v>452</v>
      </c>
      <c r="BA53" s="833" t="s">
        <v>452</v>
      </c>
    </row>
    <row r="54" spans="1:53">
      <c r="A54" s="7" t="s">
        <v>1025</v>
      </c>
      <c r="B54" s="7" t="s">
        <v>1025</v>
      </c>
      <c r="C54" s="896">
        <v>6.3</v>
      </c>
      <c r="D54" s="881">
        <v>1.3</v>
      </c>
      <c r="E54" s="881">
        <v>5</v>
      </c>
      <c r="F54" s="881">
        <v>0.6006120601465349</v>
      </c>
      <c r="G54" s="883"/>
      <c r="H54" s="882">
        <v>1.8</v>
      </c>
      <c r="I54" s="881">
        <v>0</v>
      </c>
      <c r="J54" s="884"/>
      <c r="K54" s="881">
        <v>1.8</v>
      </c>
      <c r="L54" s="881" t="s">
        <v>452</v>
      </c>
      <c r="M54" s="885"/>
      <c r="N54" s="885"/>
      <c r="O54" s="882">
        <v>5.9</v>
      </c>
      <c r="P54" s="881">
        <v>1.2</v>
      </c>
      <c r="Q54" s="881">
        <v>4.7</v>
      </c>
      <c r="R54" s="881">
        <v>0.57700693861006003</v>
      </c>
      <c r="S54" s="883"/>
      <c r="T54" s="882">
        <v>1.7</v>
      </c>
      <c r="U54" s="881">
        <v>0</v>
      </c>
      <c r="V54" s="884"/>
      <c r="W54" s="881">
        <v>1.7</v>
      </c>
      <c r="X54" s="881" t="s">
        <v>452</v>
      </c>
      <c r="Z54" s="898"/>
      <c r="AA54" s="479" t="s">
        <v>1267</v>
      </c>
      <c r="AC54" s="718"/>
      <c r="AE54" s="7" t="s">
        <v>1025</v>
      </c>
      <c r="AF54" s="839">
        <v>6.3</v>
      </c>
      <c r="AG54" s="833">
        <v>1.3</v>
      </c>
      <c r="AH54" s="833">
        <v>5</v>
      </c>
      <c r="AI54" s="833">
        <v>0.6006120601465349</v>
      </c>
      <c r="AJ54" s="832"/>
      <c r="AK54" s="839">
        <v>1.8</v>
      </c>
      <c r="AL54" s="833">
        <v>0</v>
      </c>
      <c r="AM54" s="837"/>
      <c r="AN54" s="833">
        <v>1.8</v>
      </c>
      <c r="AO54" s="833" t="s">
        <v>452</v>
      </c>
      <c r="AP54" s="834"/>
      <c r="AQ54" s="834"/>
      <c r="AR54" s="839">
        <v>5.9</v>
      </c>
      <c r="AS54" s="833">
        <v>1.2</v>
      </c>
      <c r="AT54" s="833">
        <v>4.7</v>
      </c>
      <c r="AU54" s="833">
        <v>0.57700693861006003</v>
      </c>
      <c r="AV54" s="832"/>
      <c r="AW54" s="839">
        <v>1.7</v>
      </c>
      <c r="AX54" s="833">
        <v>0</v>
      </c>
      <c r="AY54" s="837"/>
      <c r="AZ54" s="833">
        <v>1.7</v>
      </c>
      <c r="BA54" s="833" t="s">
        <v>452</v>
      </c>
    </row>
    <row r="55" spans="1:53">
      <c r="A55" s="7" t="s">
        <v>1026</v>
      </c>
      <c r="B55" s="7" t="s">
        <v>1026</v>
      </c>
      <c r="C55" s="896">
        <v>5.2</v>
      </c>
      <c r="D55" s="881">
        <v>0.4</v>
      </c>
      <c r="E55" s="881">
        <v>4.8</v>
      </c>
      <c r="F55" s="881">
        <v>0.47399999999999998</v>
      </c>
      <c r="G55" s="883"/>
      <c r="H55" s="882">
        <v>3.5</v>
      </c>
      <c r="I55" s="881">
        <v>1</v>
      </c>
      <c r="J55" s="884"/>
      <c r="K55" s="881">
        <v>2.5</v>
      </c>
      <c r="L55" s="881" t="s">
        <v>452</v>
      </c>
      <c r="M55" s="885"/>
      <c r="N55" s="885"/>
      <c r="O55" s="882">
        <v>9.4</v>
      </c>
      <c r="P55" s="881">
        <v>0.8</v>
      </c>
      <c r="Q55" s="881">
        <v>8.6</v>
      </c>
      <c r="R55" s="881">
        <v>0.9</v>
      </c>
      <c r="S55" s="883"/>
      <c r="T55" s="882">
        <v>6.6</v>
      </c>
      <c r="U55" s="881">
        <v>1.9</v>
      </c>
      <c r="V55" s="884"/>
      <c r="W55" s="881">
        <v>4.7</v>
      </c>
      <c r="X55" s="881" t="s">
        <v>452</v>
      </c>
      <c r="Z55" s="898"/>
      <c r="AA55" s="479" t="s">
        <v>1267</v>
      </c>
      <c r="AC55" s="718"/>
      <c r="AE55" s="7" t="s">
        <v>1026</v>
      </c>
      <c r="AF55" s="839">
        <v>5.2</v>
      </c>
      <c r="AG55" s="833">
        <v>0.4</v>
      </c>
      <c r="AH55" s="833">
        <v>4.8</v>
      </c>
      <c r="AI55" s="833">
        <v>0.47399999999999998</v>
      </c>
      <c r="AJ55" s="832"/>
      <c r="AK55" s="839">
        <v>3.5</v>
      </c>
      <c r="AL55" s="833">
        <v>1</v>
      </c>
      <c r="AM55" s="837"/>
      <c r="AN55" s="833">
        <v>2.5</v>
      </c>
      <c r="AO55" s="833" t="s">
        <v>452</v>
      </c>
      <c r="AP55" s="834"/>
      <c r="AQ55" s="834"/>
      <c r="AR55" s="839">
        <v>9.4</v>
      </c>
      <c r="AS55" s="833">
        <v>0.8</v>
      </c>
      <c r="AT55" s="833">
        <v>8.6</v>
      </c>
      <c r="AU55" s="833">
        <v>0.9</v>
      </c>
      <c r="AV55" s="832"/>
      <c r="AW55" s="839">
        <v>6.6</v>
      </c>
      <c r="AX55" s="833">
        <v>1.9</v>
      </c>
      <c r="AY55" s="837"/>
      <c r="AZ55" s="833">
        <v>4.7</v>
      </c>
      <c r="BA55" s="833" t="s">
        <v>452</v>
      </c>
    </row>
    <row r="56" spans="1:53">
      <c r="A56" s="7" t="s">
        <v>21</v>
      </c>
      <c r="B56" s="7" t="s">
        <v>21</v>
      </c>
      <c r="C56" s="896" t="str">
        <f>IF(ISNUMBER(INDEX('Database.Jan 12 to SEC'!$G$6:$G$191, MATCH($A56&amp;"USD bn", 'Database.Jan 12 to SEC'!$AD$6:$AD$191, 0))), INDEX('Database.Jan 12 to SEC'!$G$6:$G$191, MATCH($A56&amp;"USD bn", 'Database.Jan 12 to SEC'!$AD$6:$AD$191, 0)), "")</f>
        <v/>
      </c>
      <c r="D56" s="881" t="str">
        <f>IF(ISNUMBER(INDEX('Database.Jan 12 to SEC'!$H$6:$H$191, MATCH($A56&amp;"USD bn", 'Database.Jan 12 to SEC'!$AD$6:$AD$191, 0))), INDEX('Database.Jan 12 to SEC'!$H$6:$H$191, MATCH($A56&amp;"USD bn", 'Database.Jan 12 to SEC'!$AD$6:$AD$191, 0)), "")</f>
        <v/>
      </c>
      <c r="E56" s="881" t="str">
        <f>IF(ISNUMBER(INDEX('Database.Jan 12 to SEC'!$J$6:$J$191, MATCH($A56&amp;"USD bn", 'Database.Jan 12 to SEC'!$AD$6:$AD$191, 0))), INDEX('Database.Jan 12 to SEC'!$J$6:$J$191, MATCH($A56&amp;"USD bn", 'Database.Jan 12 to SEC'!$AD$6:$AD$191, 0)), "")</f>
        <v/>
      </c>
      <c r="F56" s="881" t="str">
        <f>IF(ISNUMBER(INDEX('Database.Jan 12 to SEC'!$L$6:$L$191, MATCH($A56&amp;"USD bn", 'Database.Jan 12 to SEC'!$AD$6:$AD$191, 0))), INDEX('Database.Jan 12 to SEC'!$L$6:$L$191, MATCH($A56&amp;"USD bn", 'Database.Jan 12 to SEC'!$AD$6:$AD$191, 0)), "")</f>
        <v/>
      </c>
      <c r="G56" s="883"/>
      <c r="H56" s="882" t="str">
        <f>IF(ISNUMBER(INDEX('Database.Jan 12 to SEC'!$P$6:$P$191, MATCH($A56&amp;"USD bn", 'Database.Jan 12 to SEC'!$AD$6:$AD$191, 0))), INDEX('Database.Jan 12 to SEC'!$P$6:$P$191, MATCH($A56&amp;"USD bn", 'Database.Jan 12 to SEC'!$AD$6:$AD$191, 0)), "")</f>
        <v/>
      </c>
      <c r="I56" s="881" t="str">
        <f>IF(ISNUMBER(INDEX('Database.Jan 12 to SEC'!$Q$6:$Q$191, MATCH($A56&amp;"USD bn", 'Database.Jan 12 to SEC'!$AD$6:$AD$191, 0))), INDEX('Database.Jan 12 to SEC'!$Q$6:$Q$191, MATCH($A56&amp;"USD bn", 'Database.Jan 12 to SEC'!$AD$6:$AD$191, 0)), "")</f>
        <v/>
      </c>
      <c r="J56" s="884"/>
      <c r="K56" s="881" t="str">
        <f>IF(ISNUMBER(INDEX('Database.Jan 12 to SEC'!$U$6:$U$191, MATCH($A56&amp;"USD bn", 'Database.Jan 12 to SEC'!$AD$6:$AD$191, 0))), INDEX('Database.Jan 12 to SEC'!$U$6:$U$191, MATCH($A56&amp;"USD bn", 'Database.Jan 12 to SEC'!$AD$6:$AD$191, 0)), "")</f>
        <v/>
      </c>
      <c r="L56" s="881" t="str">
        <f>IF(ISNUMBER(INDEX('Database.Jan 12 to SEC'!$W$6:$W$191, MATCH($A56&amp;"USD bn", 'Database.Jan 12 to SEC'!$AD$6:$AD$191, 0))), INDEX('Database.Jan 12 to SEC'!$W$6:$W$191, MATCH($A56&amp;"USD bn", 'Database.Jan 12 to SEC'!$AD$6:$AD$191, 0)), "")</f>
        <v/>
      </c>
      <c r="M56" s="885"/>
      <c r="N56" s="885"/>
      <c r="O56" s="882" t="str">
        <f>IF(ISNUMBER(INDEX('Database.Jan 12 to SEC'!$G$6:$G$191, MATCH($A56&amp;"% GDP", 'Database.Jan 12 to SEC'!$AD$6:$AD$191, 0))), INDEX('Database.Jan 12 to SEC'!$G$6:$G$191, MATCH($A56&amp;"% GDP", 'Database.Jan 12 to SEC'!$AD$6:$AD$191, 0)), "")</f>
        <v/>
      </c>
      <c r="P56" s="881" t="str">
        <f>IF(ISNUMBER(INDEX('Database.Jan 12 to SEC'!$H$6:$H$191, MATCH($A56&amp;"% GDP", 'Database.Jan 12 to SEC'!$AD$6:$AD$191, 0))), INDEX('Database.Jan 12 to SEC'!$H$6:$H$191, MATCH($A56&amp;"% GDP", 'Database.Jan 12 to SEC'!$AD$6:$AD$191, 0)), "")</f>
        <v/>
      </c>
      <c r="Q56" s="881" t="str">
        <f>IF(ISNUMBER(INDEX('Database.Jan 12 to SEC'!$J$6:$J$191, MATCH($A56&amp;"% GDP", 'Database.Jan 12 to SEC'!$AD$6:$AD$191, 0))), INDEX('Database.Jan 12 to SEC'!$J$6:$J$191, MATCH($A56&amp;"% GDP", 'Database.Jan 12 to SEC'!$AD$6:$AD$191, 0)), "")</f>
        <v/>
      </c>
      <c r="R56" s="881" t="str">
        <f>IF(ISNUMBER(INDEX('Database.Jan 12 to SEC'!$L$6:$L$191, MATCH($A56&amp;"% GDP", 'Database.Jan 12 to SEC'!$AD$6:$AD$191, 0))), INDEX('Database.Jan 12 to SEC'!$L$6:$L$191, MATCH($A56&amp;"% GDP", 'Database.Jan 12 to SEC'!$AD$6:$AD$191, 0)), "")</f>
        <v/>
      </c>
      <c r="S56" s="883"/>
      <c r="T56" s="882" t="str">
        <f>IF(ISNUMBER(INDEX('Database.Jan 12 to SEC'!$P$6:$P$191, MATCH($A56&amp;"% GDP", 'Database.Jan 12 to SEC'!$AD$6:$AD$191, 0))), INDEX('Database.Jan 12 to SEC'!$P$6:$P$191, MATCH($A56&amp;"% GDP", 'Database.Jan 12 to SEC'!$AD$6:$AD$191, 0)), "")</f>
        <v/>
      </c>
      <c r="U56" s="881" t="str">
        <f>IF(ISNUMBER(INDEX('Database.Jan 12 to SEC'!$Q$6:$Q$191, MATCH($A56&amp;"% GDP", 'Database.Jan 12 to SEC'!$AD$6:$AD$191, 0))), INDEX('Database.Jan 12 to SEC'!$Q$6:$Q$191, MATCH($A56&amp;"% GDP", 'Database.Jan 12 to SEC'!$AD$6:$AD$191, 0)), "")</f>
        <v/>
      </c>
      <c r="V56" s="884"/>
      <c r="W56" s="881" t="str">
        <f>IF(ISNUMBER(INDEX('Database.Jan 12 to SEC'!$U$6:$U$191, MATCH($A56&amp;"% GDP", 'Database.Jan 12 to SEC'!$AD$6:$AD$191, 0))), INDEX('Database.Jan 12 to SEC'!$U$6:$U$191, MATCH($A56&amp;"% GDP", 'Database.Jan 12 to SEC'!$AD$6:$AD$191, 0)), "")</f>
        <v/>
      </c>
      <c r="X56" s="881" t="str">
        <f>IF(ISNUMBER(INDEX('Database.Jan 12 to SEC'!$W$6:$W$191, MATCH($A56&amp;"% GDP", 'Database.Jan 12 to SEC'!$AD$6:$AD$191, 0))), INDEX('Database.Jan 12 to SEC'!$W$6:$W$191, MATCH($A56&amp;"% GDP", 'Database.Jan 12 to SEC'!$AD$6:$AD$191, 0)), "")</f>
        <v/>
      </c>
      <c r="Z56" s="898"/>
      <c r="AB56" s="479" t="s">
        <v>1270</v>
      </c>
      <c r="AC56" s="563"/>
      <c r="AE56" s="7" t="s">
        <v>21</v>
      </c>
      <c r="AF56" s="839">
        <v>22.474815922163589</v>
      </c>
      <c r="AG56" s="833">
        <v>4.125811618561432</v>
      </c>
      <c r="AH56" s="833">
        <v>18.349004303602158</v>
      </c>
      <c r="AI56" s="833">
        <v>36.372286637317892</v>
      </c>
      <c r="AJ56" s="832"/>
      <c r="AK56" s="839">
        <v>28.413813173092809</v>
      </c>
      <c r="AL56" s="833">
        <v>1.2703156825570725</v>
      </c>
      <c r="AM56" s="837"/>
      <c r="AN56" s="833">
        <v>27.143497490535736</v>
      </c>
      <c r="AO56" s="833" t="s">
        <v>452</v>
      </c>
      <c r="AP56" s="834"/>
      <c r="AQ56" s="834"/>
      <c r="AR56" s="839">
        <v>4.1538214254109116</v>
      </c>
      <c r="AS56" s="833">
        <v>0.76253726650055398</v>
      </c>
      <c r="AT56" s="833">
        <v>3.3912841589103575</v>
      </c>
      <c r="AU56" s="833">
        <v>6.7223680073075149</v>
      </c>
      <c r="AV56" s="832"/>
      <c r="AW56" s="839">
        <v>5.2514737537682885</v>
      </c>
      <c r="AX56" s="833">
        <v>0.2347812110014863</v>
      </c>
      <c r="AY56" s="837"/>
      <c r="AZ56" s="833">
        <v>5.0166925427668021</v>
      </c>
      <c r="BA56" s="833" t="s">
        <v>452</v>
      </c>
    </row>
    <row r="57" spans="1:53">
      <c r="A57" s="7" t="s">
        <v>558</v>
      </c>
      <c r="B57" s="7" t="s">
        <v>558</v>
      </c>
      <c r="C57" s="896" t="str">
        <f>IF(ISNUMBER(INDEX('Database.Jan 12 to SEC'!$G$6:$G$191, MATCH($A57&amp;"USD bn", 'Database.Jan 12 to SEC'!$AD$6:$AD$191, 0))), INDEX('Database.Jan 12 to SEC'!$G$6:$G$191, MATCH($A57&amp;"USD bn", 'Database.Jan 12 to SEC'!$AD$6:$AD$191, 0)), "")</f>
        <v/>
      </c>
      <c r="D57" s="881" t="str">
        <f>IF(ISNUMBER(INDEX('Database.Jan 12 to SEC'!$H$6:$H$191, MATCH($A57&amp;"USD bn", 'Database.Jan 12 to SEC'!$AD$6:$AD$191, 0))), INDEX('Database.Jan 12 to SEC'!$H$6:$H$191, MATCH($A57&amp;"USD bn", 'Database.Jan 12 to SEC'!$AD$6:$AD$191, 0)), "")</f>
        <v/>
      </c>
      <c r="E57" s="881" t="str">
        <f>IF(ISNUMBER(INDEX('Database.Jan 12 to SEC'!$J$6:$J$191, MATCH($A57&amp;"USD bn", 'Database.Jan 12 to SEC'!$AD$6:$AD$191, 0))), INDEX('Database.Jan 12 to SEC'!$J$6:$J$191, MATCH($A57&amp;"USD bn", 'Database.Jan 12 to SEC'!$AD$6:$AD$191, 0)), "")</f>
        <v/>
      </c>
      <c r="F57" s="881" t="str">
        <f>IF(ISNUMBER(INDEX('Database.Jan 12 to SEC'!$L$6:$L$191, MATCH($A57&amp;"USD bn", 'Database.Jan 12 to SEC'!$AD$6:$AD$191, 0))), INDEX('Database.Jan 12 to SEC'!$L$6:$L$191, MATCH($A57&amp;"USD bn", 'Database.Jan 12 to SEC'!$AD$6:$AD$191, 0)), "")</f>
        <v/>
      </c>
      <c r="G57" s="883"/>
      <c r="H57" s="882" t="str">
        <f>IF(ISNUMBER(INDEX('Database.Jan 12 to SEC'!$P$6:$P$191, MATCH($A57&amp;"USD bn", 'Database.Jan 12 to SEC'!$AD$6:$AD$191, 0))), INDEX('Database.Jan 12 to SEC'!$P$6:$P$191, MATCH($A57&amp;"USD bn", 'Database.Jan 12 to SEC'!$AD$6:$AD$191, 0)), "")</f>
        <v/>
      </c>
      <c r="I57" s="881" t="str">
        <f>IF(ISNUMBER(INDEX('Database.Jan 12 to SEC'!$Q$6:$Q$191, MATCH($A57&amp;"USD bn", 'Database.Jan 12 to SEC'!$AD$6:$AD$191, 0))), INDEX('Database.Jan 12 to SEC'!$Q$6:$Q$191, MATCH($A57&amp;"USD bn", 'Database.Jan 12 to SEC'!$AD$6:$AD$191, 0)), "")</f>
        <v/>
      </c>
      <c r="J57" s="884"/>
      <c r="K57" s="881" t="str">
        <f>IF(ISNUMBER(INDEX('Database.Jan 12 to SEC'!$U$6:$U$191, MATCH($A57&amp;"USD bn", 'Database.Jan 12 to SEC'!$AD$6:$AD$191, 0))), INDEX('Database.Jan 12 to SEC'!$U$6:$U$191, MATCH($A57&amp;"USD bn", 'Database.Jan 12 to SEC'!$AD$6:$AD$191, 0)), "")</f>
        <v/>
      </c>
      <c r="L57" s="881" t="str">
        <f>IF(ISNUMBER(INDEX('Database.Jan 12 to SEC'!$W$6:$W$191, MATCH($A57&amp;"USD bn", 'Database.Jan 12 to SEC'!$AD$6:$AD$191, 0))), INDEX('Database.Jan 12 to SEC'!$W$6:$W$191, MATCH($A57&amp;"USD bn", 'Database.Jan 12 to SEC'!$AD$6:$AD$191, 0)), "")</f>
        <v/>
      </c>
      <c r="M57" s="885"/>
      <c r="N57" s="885"/>
      <c r="O57" s="882" t="str">
        <f>IF(ISNUMBER(INDEX('Database.Jan 12 to SEC'!$G$6:$G$191, MATCH($A57&amp;"% GDP", 'Database.Jan 12 to SEC'!$AD$6:$AD$191, 0))), INDEX('Database.Jan 12 to SEC'!$G$6:$G$191, MATCH($A57&amp;"% GDP", 'Database.Jan 12 to SEC'!$AD$6:$AD$191, 0)), "")</f>
        <v/>
      </c>
      <c r="P57" s="881" t="str">
        <f>IF(ISNUMBER(INDEX('Database.Jan 12 to SEC'!$H$6:$H$191, MATCH($A57&amp;"% GDP", 'Database.Jan 12 to SEC'!$AD$6:$AD$191, 0))), INDEX('Database.Jan 12 to SEC'!$H$6:$H$191, MATCH($A57&amp;"% GDP", 'Database.Jan 12 to SEC'!$AD$6:$AD$191, 0)), "")</f>
        <v/>
      </c>
      <c r="Q57" s="881" t="str">
        <f>IF(ISNUMBER(INDEX('Database.Jan 12 to SEC'!$J$6:$J$191, MATCH($A57&amp;"% GDP", 'Database.Jan 12 to SEC'!$AD$6:$AD$191, 0))), INDEX('Database.Jan 12 to SEC'!$J$6:$J$191, MATCH($A57&amp;"% GDP", 'Database.Jan 12 to SEC'!$AD$6:$AD$191, 0)), "")</f>
        <v/>
      </c>
      <c r="R57" s="881" t="str">
        <f>IF(ISNUMBER(INDEX('Database.Jan 12 to SEC'!$L$6:$L$191, MATCH($A57&amp;"% GDP", 'Database.Jan 12 to SEC'!$AD$6:$AD$191, 0))), INDEX('Database.Jan 12 to SEC'!$L$6:$L$191, MATCH($A57&amp;"% GDP", 'Database.Jan 12 to SEC'!$AD$6:$AD$191, 0)), "")</f>
        <v/>
      </c>
      <c r="S57" s="883"/>
      <c r="T57" s="882" t="str">
        <f>IF(ISNUMBER(INDEX('Database.Jan 12 to SEC'!$P$6:$P$191, MATCH($A57&amp;"% GDP", 'Database.Jan 12 to SEC'!$AD$6:$AD$191, 0))), INDEX('Database.Jan 12 to SEC'!$P$6:$P$191, MATCH($A57&amp;"% GDP", 'Database.Jan 12 to SEC'!$AD$6:$AD$191, 0)), "")</f>
        <v/>
      </c>
      <c r="U57" s="881" t="str">
        <f>IF(ISNUMBER(INDEX('Database.Jan 12 to SEC'!$Q$6:$Q$191, MATCH($A57&amp;"% GDP", 'Database.Jan 12 to SEC'!$AD$6:$AD$191, 0))), INDEX('Database.Jan 12 to SEC'!$Q$6:$Q$191, MATCH($A57&amp;"% GDP", 'Database.Jan 12 to SEC'!$AD$6:$AD$191, 0)), "")</f>
        <v/>
      </c>
      <c r="V57" s="884"/>
      <c r="W57" s="881" t="str">
        <f>IF(ISNUMBER(INDEX('Database.Jan 12 to SEC'!$U$6:$U$191, MATCH($A57&amp;"% GDP", 'Database.Jan 12 to SEC'!$AD$6:$AD$191, 0))), INDEX('Database.Jan 12 to SEC'!$U$6:$U$191, MATCH($A57&amp;"% GDP", 'Database.Jan 12 to SEC'!$AD$6:$AD$191, 0)), "")</f>
        <v/>
      </c>
      <c r="X57" s="881" t="str">
        <f>IF(ISNUMBER(INDEX('Database.Jan 12 to SEC'!$W$6:$W$191, MATCH($A57&amp;"% GDP", 'Database.Jan 12 to SEC'!$AD$6:$AD$191, 0))), INDEX('Database.Jan 12 to SEC'!$W$6:$W$191, MATCH($A57&amp;"% GDP", 'Database.Jan 12 to SEC'!$AD$6:$AD$191, 0)), "")</f>
        <v/>
      </c>
      <c r="Z57" s="898"/>
      <c r="AA57" s="479" t="s">
        <v>1267</v>
      </c>
      <c r="AC57" s="563"/>
      <c r="AE57" s="7" t="s">
        <v>558</v>
      </c>
      <c r="AF57" s="839">
        <v>59.481808256628398</v>
      </c>
      <c r="AG57" s="833">
        <v>7.6892624776985965</v>
      </c>
      <c r="AH57" s="833">
        <v>51.792545778929799</v>
      </c>
      <c r="AI57" s="833" t="s">
        <v>452</v>
      </c>
      <c r="AJ57" s="832"/>
      <c r="AK57" s="839">
        <v>46.733119713121745</v>
      </c>
      <c r="AL57" s="833">
        <v>1.1716565626081807</v>
      </c>
      <c r="AM57" s="837"/>
      <c r="AN57" s="833">
        <v>45.561463150513568</v>
      </c>
      <c r="AO57" s="833" t="s">
        <v>452</v>
      </c>
      <c r="AP57" s="834"/>
      <c r="AQ57" s="834"/>
      <c r="AR57" s="839">
        <v>7.9111095244692748</v>
      </c>
      <c r="AS57" s="833">
        <v>1.0226756617925596</v>
      </c>
      <c r="AT57" s="833">
        <v>6.888433862676715</v>
      </c>
      <c r="AU57" s="833" t="s">
        <v>452</v>
      </c>
      <c r="AV57" s="832"/>
      <c r="AW57" s="839">
        <v>6.2155277269910725</v>
      </c>
      <c r="AX57" s="833">
        <v>0.15583089457983315</v>
      </c>
      <c r="AY57" s="837"/>
      <c r="AZ57" s="833">
        <v>6.0596968324112392</v>
      </c>
      <c r="BA57" s="833" t="s">
        <v>452</v>
      </c>
    </row>
    <row r="58" spans="1:53">
      <c r="A58" s="352"/>
      <c r="C58" s="389"/>
      <c r="D58" s="389"/>
      <c r="E58" s="389"/>
      <c r="F58" s="389"/>
      <c r="G58" s="389"/>
      <c r="H58" s="389"/>
      <c r="I58" s="389"/>
      <c r="J58" s="389"/>
      <c r="K58" s="389"/>
      <c r="L58" s="389"/>
      <c r="M58" s="389"/>
      <c r="N58" s="389"/>
      <c r="O58" s="389"/>
      <c r="P58" s="389"/>
      <c r="Q58" s="389"/>
      <c r="R58" s="389"/>
      <c r="S58" s="389"/>
      <c r="T58" s="389"/>
      <c r="U58" s="389"/>
      <c r="V58" s="389"/>
      <c r="W58" s="389"/>
      <c r="X58" s="389"/>
      <c r="Z58" s="898"/>
      <c r="AF58" s="839" t="s">
        <v>452</v>
      </c>
      <c r="AG58" s="833" t="s">
        <v>452</v>
      </c>
      <c r="AH58" s="833" t="s">
        <v>452</v>
      </c>
      <c r="AI58" s="833" t="s">
        <v>452</v>
      </c>
      <c r="AJ58" s="832"/>
      <c r="AK58" s="839"/>
      <c r="AL58" s="833" t="s">
        <v>452</v>
      </c>
      <c r="AM58" s="837"/>
      <c r="AN58" s="833" t="s">
        <v>452</v>
      </c>
      <c r="AO58" s="833" t="s">
        <v>452</v>
      </c>
      <c r="AP58" s="834"/>
      <c r="AQ58" s="834"/>
      <c r="AR58" s="839" t="s">
        <v>452</v>
      </c>
      <c r="AS58" s="833" t="s">
        <v>452</v>
      </c>
      <c r="AT58" s="833" t="s">
        <v>452</v>
      </c>
      <c r="AU58" s="833" t="s">
        <v>452</v>
      </c>
      <c r="AV58" s="832"/>
      <c r="AW58" s="839"/>
      <c r="AX58" s="833" t="s">
        <v>452</v>
      </c>
      <c r="AY58" s="837"/>
      <c r="AZ58" s="833" t="s">
        <v>452</v>
      </c>
      <c r="BA58" s="833" t="s">
        <v>452</v>
      </c>
    </row>
    <row r="59" spans="1:53">
      <c r="A59" s="838" t="s">
        <v>870</v>
      </c>
      <c r="B59" s="838" t="s">
        <v>870</v>
      </c>
      <c r="C59" s="895"/>
      <c r="D59" s="883"/>
      <c r="E59" s="883"/>
      <c r="F59" s="881"/>
      <c r="G59" s="883"/>
      <c r="H59" s="895"/>
      <c r="I59" s="884" t="str">
        <f>IF(ISNUMBER(INDEX('Database.Jan 12 to SEC'!$Q$6:$Q$191, MATCH($A59&amp;"USD bn", 'Database.Jan 12 to SEC'!$AD$6:$AD$191, 0))), INDEX('Database.Jan 12 to SEC'!$Q$6:$Q$191, MATCH($A59&amp;"USD bn", 'Database.Jan 12 to SEC'!$AD$6:$AD$191, 0)), "")</f>
        <v/>
      </c>
      <c r="J59" s="884"/>
      <c r="K59" s="884" t="str">
        <f>IF(ISNUMBER(INDEX('Database.Jan 12 to SEC'!$U$6:$U$191, MATCH($A59&amp;"USD bn", 'Database.Jan 12 to SEC'!$AD$6:$AD$191, 0))), INDEX('Database.Jan 12 to SEC'!$U$6:$U$191, MATCH($A59&amp;"USD bn", 'Database.Jan 12 to SEC'!$AD$6:$AD$191, 0)), "")</f>
        <v/>
      </c>
      <c r="L59" s="884" t="str">
        <f>IF(ISNUMBER(INDEX('Database.Jan 12 to SEC'!$W$6:$W$191, MATCH($A59&amp;"USD bn", 'Database.Jan 12 to SEC'!$AD$6:$AD$191, 0))), INDEX('Database.Jan 12 to SEC'!$W$6:$W$191, MATCH($A59&amp;"USD bn", 'Database.Jan 12 to SEC'!$AD$6:$AD$191, 0)), "")</f>
        <v/>
      </c>
      <c r="M59" s="885"/>
      <c r="N59" s="885"/>
      <c r="O59" s="894" t="str">
        <f>IF(ISNUMBER(INDEX('Database.Jan 12 to SEC'!$G$6:$G$191, MATCH($A59&amp;"% GDP", 'Database.Jan 12 to SEC'!$AD$6:$AD$191, 0))), INDEX('Database.Jan 12 to SEC'!$G$6:$G$191, MATCH($A59&amp;"% GDP", 'Database.Jan 12 to SEC'!$AD$6:$AD$191, 0)), "")</f>
        <v/>
      </c>
      <c r="P59" s="893" t="str">
        <f>IF(ISNUMBER(INDEX('Database.Jan 12 to SEC'!$H$6:$H$191, MATCH($A59&amp;"% GDP", 'Database.Jan 12 to SEC'!$AD$6:$AD$191, 0))), INDEX('Database.Jan 12 to SEC'!$H$6:$H$191, MATCH($A59&amp;"% GDP", 'Database.Jan 12 to SEC'!$AD$6:$AD$191, 0)), "")</f>
        <v/>
      </c>
      <c r="Q59" s="893" t="str">
        <f>IF(ISNUMBER(INDEX('Database.Jan 12 to SEC'!$J$6:$J$191, MATCH($A59&amp;"% GDP", 'Database.Jan 12 to SEC'!$AD$6:$AD$191, 0))), INDEX('Database.Jan 12 to SEC'!$J$6:$J$191, MATCH($A59&amp;"% GDP", 'Database.Jan 12 to SEC'!$AD$6:$AD$191, 0)), "")</f>
        <v/>
      </c>
      <c r="R59" s="893" t="str">
        <f>IF(ISNUMBER(INDEX('Database.Jan 12 to SEC'!$L$6:$L$191, MATCH($A59&amp;"% GDP", 'Database.Jan 12 to SEC'!$AD$6:$AD$191, 0))), INDEX('Database.Jan 12 to SEC'!$L$6:$L$191, MATCH($A59&amp;"% GDP", 'Database.Jan 12 to SEC'!$AD$6:$AD$191, 0)), "")</f>
        <v/>
      </c>
      <c r="S59" s="893"/>
      <c r="T59" s="894" t="str">
        <f>IF(ISNUMBER(INDEX('Database.Jan 12 to SEC'!$P$6:$P$191, MATCH($A59&amp;"% GDP", 'Database.Jan 12 to SEC'!$AD$6:$AD$191, 0))), INDEX('Database.Jan 12 to SEC'!$P$6:$P$191, MATCH($A59&amp;"% GDP", 'Database.Jan 12 to SEC'!$AD$6:$AD$191, 0)), "")</f>
        <v/>
      </c>
      <c r="U59" s="893" t="str">
        <f>IF(ISNUMBER(INDEX('Database.Jan 12 to SEC'!$Q$6:$Q$191, MATCH($A59&amp;"% GDP", 'Database.Jan 12 to SEC'!$AD$6:$AD$191, 0))), INDEX('Database.Jan 12 to SEC'!$Q$6:$Q$191, MATCH($A59&amp;"% GDP", 'Database.Jan 12 to SEC'!$AD$6:$AD$191, 0)), "")</f>
        <v/>
      </c>
      <c r="V59" s="893"/>
      <c r="W59" s="893" t="str">
        <f>IF(ISNUMBER(INDEX('Database.Jan 12 to SEC'!$U$6:$U$191, MATCH($A59&amp;"% GDP", 'Database.Jan 12 to SEC'!$AD$6:$AD$191, 0))), INDEX('Database.Jan 12 to SEC'!$U$6:$U$191, MATCH($A59&amp;"% GDP", 'Database.Jan 12 to SEC'!$AD$6:$AD$191, 0)), "")</f>
        <v/>
      </c>
      <c r="X59" s="893" t="str">
        <f>IF(ISNUMBER(INDEX('Database.Jan 12 to SEC'!$W$6:$W$191, MATCH($A59&amp;"% GDP", 'Database.Jan 12 to SEC'!$AD$6:$AD$191, 0))), INDEX('Database.Jan 12 to SEC'!$W$6:$W$191, MATCH($A59&amp;"% GDP", 'Database.Jan 12 to SEC'!$AD$6:$AD$191, 0)), "")</f>
        <v/>
      </c>
      <c r="Z59" s="898"/>
      <c r="AC59" s="565"/>
      <c r="AF59" s="839" t="s">
        <v>452</v>
      </c>
      <c r="AG59" s="833" t="s">
        <v>452</v>
      </c>
      <c r="AH59" s="833" t="s">
        <v>452</v>
      </c>
      <c r="AI59" s="833" t="s">
        <v>452</v>
      </c>
      <c r="AJ59" s="832"/>
      <c r="AK59" s="839"/>
      <c r="AL59" s="833" t="s">
        <v>452</v>
      </c>
      <c r="AM59" s="837"/>
      <c r="AN59" s="833" t="s">
        <v>452</v>
      </c>
      <c r="AO59" s="833" t="s">
        <v>452</v>
      </c>
      <c r="AP59" s="834"/>
      <c r="AQ59" s="834"/>
      <c r="AR59" s="839" t="s">
        <v>452</v>
      </c>
      <c r="AS59" s="833" t="s">
        <v>452</v>
      </c>
      <c r="AT59" s="833" t="s">
        <v>452</v>
      </c>
      <c r="AU59" s="833" t="s">
        <v>452</v>
      </c>
      <c r="AV59" s="832"/>
      <c r="AW59" s="839"/>
      <c r="AX59" s="833" t="s">
        <v>452</v>
      </c>
      <c r="AY59" s="837"/>
      <c r="AZ59" s="833" t="s">
        <v>452</v>
      </c>
      <c r="BA59" s="833" t="s">
        <v>452</v>
      </c>
    </row>
    <row r="60" spans="1:53">
      <c r="A60" s="764" t="s">
        <v>41</v>
      </c>
      <c r="B60" s="764" t="s">
        <v>41</v>
      </c>
      <c r="C60" s="896" t="str">
        <f>IF(ISNUMBER(INDEX('Database.Jan 12 to SEC'!$G$6:$G$191, MATCH($A60&amp;"USD bn", 'Database.Jan 12 to SEC'!$AD$6:$AD$191, 0))), INDEX('Database.Jan 12 to SEC'!$G$6:$G$191, MATCH($A60&amp;"USD bn", 'Database.Jan 12 to SEC'!$AD$6:$AD$191, 0)), "")</f>
        <v/>
      </c>
      <c r="D60" s="881" t="str">
        <f>IF(ISNUMBER(INDEX('Database.Jan 12 to SEC'!$H$6:$H$191, MATCH($A60&amp;"USD bn", 'Database.Jan 12 to SEC'!$AD$6:$AD$191, 0))), INDEX('Database.Jan 12 to SEC'!$H$6:$H$191, MATCH($A60&amp;"USD bn", 'Database.Jan 12 to SEC'!$AD$6:$AD$191, 0)), "")</f>
        <v/>
      </c>
      <c r="E60" s="881" t="str">
        <f>IF(ISNUMBER(INDEX('Database.Jan 12 to SEC'!$J$6:$J$191, MATCH($A60&amp;"USD bn", 'Database.Jan 12 to SEC'!$AD$6:$AD$191, 0))), INDEX('Database.Jan 12 to SEC'!$J$6:$J$191, MATCH($A60&amp;"USD bn", 'Database.Jan 12 to SEC'!$AD$6:$AD$191, 0)), "")</f>
        <v/>
      </c>
      <c r="F60" s="881" t="str">
        <f>IF(ISNUMBER(INDEX('Database.Jan 12 to SEC'!$L$6:$L$191, MATCH($A60&amp;"USD bn", 'Database.Jan 12 to SEC'!$AD$6:$AD$191, 0))), INDEX('Database.Jan 12 to SEC'!$L$6:$L$191, MATCH($A60&amp;"USD bn", 'Database.Jan 12 to SEC'!$AD$6:$AD$191, 0)), "")</f>
        <v/>
      </c>
      <c r="G60" s="883"/>
      <c r="H60" s="882" t="str">
        <f>IF(ISNUMBER(INDEX('Database.Jan 12 to SEC'!$P$6:$P$191, MATCH($A60&amp;"USD bn", 'Database.Jan 12 to SEC'!$AD$6:$AD$191, 0))), INDEX('Database.Jan 12 to SEC'!$P$6:$P$191, MATCH($A60&amp;"USD bn", 'Database.Jan 12 to SEC'!$AD$6:$AD$191, 0)), "")</f>
        <v/>
      </c>
      <c r="I60" s="881" t="str">
        <f>IF(ISNUMBER(INDEX('Database.Jan 12 to SEC'!$Q$6:$Q$191, MATCH($A60&amp;"USD bn", 'Database.Jan 12 to SEC'!$AD$6:$AD$191, 0))), INDEX('Database.Jan 12 to SEC'!$Q$6:$Q$191, MATCH($A60&amp;"USD bn", 'Database.Jan 12 to SEC'!$AD$6:$AD$191, 0)), "")</f>
        <v/>
      </c>
      <c r="J60" s="884"/>
      <c r="K60" s="881" t="str">
        <f>IF(ISNUMBER(INDEX('Database.Jan 12 to SEC'!$U$6:$U$191, MATCH($A60&amp;"USD bn", 'Database.Jan 12 to SEC'!$AD$6:$AD$191, 0))), INDEX('Database.Jan 12 to SEC'!$U$6:$U$191, MATCH($A60&amp;"USD bn", 'Database.Jan 12 to SEC'!$AD$6:$AD$191, 0)), "")</f>
        <v/>
      </c>
      <c r="L60" s="881" t="str">
        <f>IF(ISNUMBER(INDEX('Database.Jan 12 to SEC'!$W$6:$W$191, MATCH($A60&amp;"USD bn", 'Database.Jan 12 to SEC'!$AD$6:$AD$191, 0))), INDEX('Database.Jan 12 to SEC'!$W$6:$W$191, MATCH($A60&amp;"USD bn", 'Database.Jan 12 to SEC'!$AD$6:$AD$191, 0)), "")</f>
        <v/>
      </c>
      <c r="M60" s="885"/>
      <c r="N60" s="885"/>
      <c r="O60" s="882" t="str">
        <f>IF(ISNUMBER(INDEX('Database.Jan 12 to SEC'!$G$6:$G$191, MATCH($A60&amp;"% GDP", 'Database.Jan 12 to SEC'!$AD$6:$AD$191, 0))), INDEX('Database.Jan 12 to SEC'!$G$6:$G$191, MATCH($A60&amp;"% GDP", 'Database.Jan 12 to SEC'!$AD$6:$AD$191, 0)), "")</f>
        <v/>
      </c>
      <c r="P60" s="881" t="str">
        <f>IF(ISNUMBER(INDEX('Database.Jan 12 to SEC'!$H$6:$H$191, MATCH($A60&amp;"% GDP", 'Database.Jan 12 to SEC'!$AD$6:$AD$191, 0))), INDEX('Database.Jan 12 to SEC'!$H$6:$H$191, MATCH($A60&amp;"% GDP", 'Database.Jan 12 to SEC'!$AD$6:$AD$191, 0)), "")</f>
        <v/>
      </c>
      <c r="Q60" s="881" t="str">
        <f>IF(ISNUMBER(INDEX('Database.Jan 12 to SEC'!$J$6:$J$191, MATCH($A60&amp;"% GDP", 'Database.Jan 12 to SEC'!$AD$6:$AD$191, 0))), INDEX('Database.Jan 12 to SEC'!$J$6:$J$191, MATCH($A60&amp;"% GDP", 'Database.Jan 12 to SEC'!$AD$6:$AD$191, 0)), "")</f>
        <v/>
      </c>
      <c r="R60" s="881" t="str">
        <f>IF(ISNUMBER(INDEX('Database.Jan 12 to SEC'!$L$6:$L$191, MATCH($A60&amp;"% GDP", 'Database.Jan 12 to SEC'!$AD$6:$AD$191, 0))), INDEX('Database.Jan 12 to SEC'!$L$6:$L$191, MATCH($A60&amp;"% GDP", 'Database.Jan 12 to SEC'!$AD$6:$AD$191, 0)), "")</f>
        <v/>
      </c>
      <c r="S60" s="883"/>
      <c r="T60" s="882" t="str">
        <f>IF(ISNUMBER(INDEX('Database.Jan 12 to SEC'!$P$6:$P$191, MATCH($A60&amp;"% GDP", 'Database.Jan 12 to SEC'!$AD$6:$AD$191, 0))), INDEX('Database.Jan 12 to SEC'!$P$6:$P$191, MATCH($A60&amp;"% GDP", 'Database.Jan 12 to SEC'!$AD$6:$AD$191, 0)), "")</f>
        <v/>
      </c>
      <c r="U60" s="881" t="str">
        <f>IF(ISNUMBER(INDEX('Database.Jan 12 to SEC'!$Q$6:$Q$191, MATCH($A60&amp;"% GDP", 'Database.Jan 12 to SEC'!$AD$6:$AD$191, 0))), INDEX('Database.Jan 12 to SEC'!$Q$6:$Q$191, MATCH($A60&amp;"% GDP", 'Database.Jan 12 to SEC'!$AD$6:$AD$191, 0)), "")</f>
        <v/>
      </c>
      <c r="V60" s="884"/>
      <c r="W60" s="881" t="str">
        <f>IF(ISNUMBER(INDEX('Database.Jan 12 to SEC'!$U$6:$U$191, MATCH($A60&amp;"% GDP", 'Database.Jan 12 to SEC'!$AD$6:$AD$191, 0))), INDEX('Database.Jan 12 to SEC'!$U$6:$U$191, MATCH($A60&amp;"% GDP", 'Database.Jan 12 to SEC'!$AD$6:$AD$191, 0)), "")</f>
        <v/>
      </c>
      <c r="X60" s="881" t="str">
        <f>IF(ISNUMBER(INDEX('Database.Jan 12 to SEC'!$W$6:$W$191, MATCH($A60&amp;"% GDP", 'Database.Jan 12 to SEC'!$AD$6:$AD$191, 0))), INDEX('Database.Jan 12 to SEC'!$W$6:$W$191, MATCH($A60&amp;"% GDP", 'Database.Jan 12 to SEC'!$AD$6:$AD$191, 0)), "")</f>
        <v/>
      </c>
      <c r="Z60" s="898"/>
      <c r="AA60" s="479" t="s">
        <v>1267</v>
      </c>
      <c r="AB60" s="479" t="s">
        <v>1275</v>
      </c>
      <c r="AC60" s="562"/>
      <c r="AF60" s="839">
        <v>0.33382004491368428</v>
      </c>
      <c r="AG60" s="833">
        <v>0.16783217727704566</v>
      </c>
      <c r="AH60" s="833">
        <v>0.16598786763663861</v>
      </c>
      <c r="AI60" s="833" t="s">
        <v>452</v>
      </c>
      <c r="AJ60" s="832"/>
      <c r="AK60" s="839">
        <v>0.23976025325292241</v>
      </c>
      <c r="AL60" s="833" t="s">
        <v>452</v>
      </c>
      <c r="AM60" s="837"/>
      <c r="AN60" s="833">
        <v>0.23976025325292241</v>
      </c>
      <c r="AO60" s="833" t="s">
        <v>452</v>
      </c>
      <c r="AP60" s="834"/>
      <c r="AQ60" s="834"/>
      <c r="AR60" s="839">
        <v>2.2512745821149296</v>
      </c>
      <c r="AS60" s="833">
        <v>1.1318562816157931</v>
      </c>
      <c r="AT60" s="833">
        <v>1.1194183004991365</v>
      </c>
      <c r="AU60" s="833" t="s">
        <v>452</v>
      </c>
      <c r="AV60" s="832"/>
      <c r="AW60" s="839">
        <v>1.6169375451654189</v>
      </c>
      <c r="AX60" s="833" t="s">
        <v>452</v>
      </c>
      <c r="AY60" s="837"/>
      <c r="AZ60" s="833">
        <v>1.6169375451654189</v>
      </c>
      <c r="BA60" s="833" t="s">
        <v>452</v>
      </c>
    </row>
    <row r="61" spans="1:53">
      <c r="A61" s="764" t="s">
        <v>1027</v>
      </c>
      <c r="B61" s="764" t="s">
        <v>1027</v>
      </c>
      <c r="C61" s="896">
        <v>1.7800000000000002</v>
      </c>
      <c r="D61" s="881">
        <v>0.91243697478991603</v>
      </c>
      <c r="E61" s="881">
        <v>0.8675630252100841</v>
      </c>
      <c r="F61" s="881" t="s">
        <v>452</v>
      </c>
      <c r="G61" s="883"/>
      <c r="H61" s="882" t="s">
        <v>452</v>
      </c>
      <c r="I61" s="881" t="s">
        <v>452</v>
      </c>
      <c r="J61" s="884"/>
      <c r="K61" s="881" t="s">
        <v>452</v>
      </c>
      <c r="L61" s="881" t="s">
        <v>452</v>
      </c>
      <c r="M61" s="885"/>
      <c r="N61" s="885"/>
      <c r="O61" s="882">
        <v>1.3018269335958867</v>
      </c>
      <c r="P61" s="881">
        <v>0.66732304999453018</v>
      </c>
      <c r="Q61" s="881">
        <v>0.63450388360135657</v>
      </c>
      <c r="R61" s="881" t="s">
        <v>452</v>
      </c>
      <c r="S61" s="883"/>
      <c r="T61" s="882" t="s">
        <v>452</v>
      </c>
      <c r="U61" s="881" t="s">
        <v>452</v>
      </c>
      <c r="V61" s="884"/>
      <c r="W61" s="881" t="s">
        <v>452</v>
      </c>
      <c r="X61" s="881" t="s">
        <v>452</v>
      </c>
      <c r="Z61" s="898"/>
      <c r="AA61" s="479" t="s">
        <v>1267</v>
      </c>
      <c r="AC61" s="717"/>
      <c r="AF61" s="839">
        <v>1.7800000000000002</v>
      </c>
      <c r="AG61" s="833">
        <v>0.91243697478991603</v>
      </c>
      <c r="AH61" s="833">
        <v>0.8675630252100841</v>
      </c>
      <c r="AI61" s="833" t="s">
        <v>452</v>
      </c>
      <c r="AJ61" s="832"/>
      <c r="AK61" s="839" t="s">
        <v>452</v>
      </c>
      <c r="AL61" s="833" t="s">
        <v>452</v>
      </c>
      <c r="AM61" s="837"/>
      <c r="AN61" s="833" t="s">
        <v>452</v>
      </c>
      <c r="AO61" s="833" t="s">
        <v>452</v>
      </c>
      <c r="AP61" s="834"/>
      <c r="AQ61" s="834"/>
      <c r="AR61" s="839">
        <v>1.3018269335958867</v>
      </c>
      <c r="AS61" s="833">
        <v>0.66732304999453018</v>
      </c>
      <c r="AT61" s="833">
        <v>0.63450388360135657</v>
      </c>
      <c r="AU61" s="833" t="s">
        <v>452</v>
      </c>
      <c r="AV61" s="832"/>
      <c r="AW61" s="839" t="s">
        <v>452</v>
      </c>
      <c r="AX61" s="833" t="s">
        <v>452</v>
      </c>
      <c r="AY61" s="837"/>
      <c r="AZ61" s="833" t="s">
        <v>452</v>
      </c>
      <c r="BA61" s="833" t="s">
        <v>452</v>
      </c>
    </row>
    <row r="62" spans="1:53">
      <c r="A62" s="764" t="s">
        <v>1028</v>
      </c>
      <c r="B62" s="764" t="s">
        <v>1028</v>
      </c>
      <c r="C62" s="896">
        <v>0.30270184555643093</v>
      </c>
      <c r="D62" s="881" t="s">
        <v>452</v>
      </c>
      <c r="E62" s="881" t="s">
        <v>452</v>
      </c>
      <c r="F62" s="881" t="s">
        <v>452</v>
      </c>
      <c r="G62" s="883"/>
      <c r="H62" s="882" t="s">
        <v>452</v>
      </c>
      <c r="I62" s="881" t="s">
        <v>452</v>
      </c>
      <c r="J62" s="884"/>
      <c r="K62" s="881" t="s">
        <v>452</v>
      </c>
      <c r="L62" s="881" t="s">
        <v>452</v>
      </c>
      <c r="M62" s="885"/>
      <c r="N62" s="885"/>
      <c r="O62" s="882">
        <v>0.51853837302572692</v>
      </c>
      <c r="P62" s="881" t="s">
        <v>452</v>
      </c>
      <c r="Q62" s="881" t="s">
        <v>452</v>
      </c>
      <c r="R62" s="881" t="s">
        <v>452</v>
      </c>
      <c r="S62" s="883"/>
      <c r="T62" s="882" t="s">
        <v>452</v>
      </c>
      <c r="U62" s="881" t="s">
        <v>452</v>
      </c>
      <c r="V62" s="884"/>
      <c r="W62" s="881" t="s">
        <v>452</v>
      </c>
      <c r="X62" s="881" t="s">
        <v>452</v>
      </c>
      <c r="Z62" s="898"/>
      <c r="AA62" s="479" t="s">
        <v>1267</v>
      </c>
      <c r="AC62" s="717"/>
      <c r="AF62" s="839">
        <v>0.30270184555643093</v>
      </c>
      <c r="AG62" s="833" t="s">
        <v>452</v>
      </c>
      <c r="AH62" s="833" t="s">
        <v>452</v>
      </c>
      <c r="AI62" s="833" t="s">
        <v>452</v>
      </c>
      <c r="AJ62" s="832"/>
      <c r="AK62" s="839" t="s">
        <v>452</v>
      </c>
      <c r="AL62" s="833" t="s">
        <v>452</v>
      </c>
      <c r="AM62" s="837"/>
      <c r="AN62" s="833" t="s">
        <v>452</v>
      </c>
      <c r="AO62" s="833" t="s">
        <v>452</v>
      </c>
      <c r="AP62" s="834"/>
      <c r="AQ62" s="834"/>
      <c r="AR62" s="839">
        <v>0.51853837302572692</v>
      </c>
      <c r="AS62" s="833" t="s">
        <v>452</v>
      </c>
      <c r="AT62" s="833" t="s">
        <v>452</v>
      </c>
      <c r="AU62" s="833" t="s">
        <v>452</v>
      </c>
      <c r="AV62" s="832"/>
      <c r="AW62" s="839" t="s">
        <v>452</v>
      </c>
      <c r="AX62" s="833" t="s">
        <v>452</v>
      </c>
      <c r="AY62" s="837"/>
      <c r="AZ62" s="833" t="s">
        <v>452</v>
      </c>
      <c r="BA62" s="833" t="s">
        <v>452</v>
      </c>
    </row>
    <row r="63" spans="1:53" hidden="1">
      <c r="A63" s="764" t="s">
        <v>1029</v>
      </c>
      <c r="B63" s="764" t="s">
        <v>1029</v>
      </c>
      <c r="C63" s="896" t="s">
        <v>452</v>
      </c>
      <c r="D63" s="881" t="s">
        <v>452</v>
      </c>
      <c r="E63" s="881" t="s">
        <v>452</v>
      </c>
      <c r="F63" s="881" t="s">
        <v>452</v>
      </c>
      <c r="G63" s="883"/>
      <c r="H63" s="882" t="s">
        <v>452</v>
      </c>
      <c r="I63" s="881" t="s">
        <v>452</v>
      </c>
      <c r="J63" s="884"/>
      <c r="K63" s="881" t="s">
        <v>452</v>
      </c>
      <c r="L63" s="881" t="s">
        <v>452</v>
      </c>
      <c r="M63" s="885"/>
      <c r="N63" s="885"/>
      <c r="O63" s="882" t="s">
        <v>452</v>
      </c>
      <c r="P63" s="881" t="s">
        <v>452</v>
      </c>
      <c r="Q63" s="881" t="s">
        <v>452</v>
      </c>
      <c r="R63" s="881" t="s">
        <v>452</v>
      </c>
      <c r="S63" s="883"/>
      <c r="T63" s="882" t="s">
        <v>452</v>
      </c>
      <c r="U63" s="881" t="s">
        <v>452</v>
      </c>
      <c r="V63" s="884"/>
      <c r="W63" s="881" t="s">
        <v>452</v>
      </c>
      <c r="X63" s="881" t="s">
        <v>452</v>
      </c>
      <c r="Z63" s="898"/>
      <c r="AA63" s="479" t="s">
        <v>1267</v>
      </c>
      <c r="AC63" s="717"/>
      <c r="AF63" s="839" t="s">
        <v>452</v>
      </c>
      <c r="AG63" s="833" t="s">
        <v>452</v>
      </c>
      <c r="AH63" s="833" t="s">
        <v>452</v>
      </c>
      <c r="AI63" s="833" t="s">
        <v>452</v>
      </c>
      <c r="AJ63" s="832"/>
      <c r="AK63" s="839" t="s">
        <v>452</v>
      </c>
      <c r="AL63" s="833" t="s">
        <v>452</v>
      </c>
      <c r="AM63" s="837"/>
      <c r="AN63" s="833" t="s">
        <v>452</v>
      </c>
      <c r="AO63" s="833" t="s">
        <v>452</v>
      </c>
      <c r="AP63" s="834"/>
      <c r="AQ63" s="834"/>
      <c r="AR63" s="839" t="s">
        <v>452</v>
      </c>
      <c r="AS63" s="833" t="s">
        <v>452</v>
      </c>
      <c r="AT63" s="833" t="s">
        <v>452</v>
      </c>
      <c r="AU63" s="833" t="s">
        <v>452</v>
      </c>
      <c r="AV63" s="832"/>
      <c r="AW63" s="839" t="s">
        <v>452</v>
      </c>
      <c r="AX63" s="833" t="s">
        <v>452</v>
      </c>
      <c r="AY63" s="837"/>
      <c r="AZ63" s="833" t="s">
        <v>452</v>
      </c>
      <c r="BA63" s="833" t="s">
        <v>452</v>
      </c>
    </row>
    <row r="64" spans="1:53">
      <c r="A64" s="764" t="s">
        <v>1030</v>
      </c>
      <c r="B64" s="764" t="s">
        <v>1030</v>
      </c>
      <c r="C64" s="896">
        <v>7.7777777777777765E-2</v>
      </c>
      <c r="D64" s="881">
        <v>3.7037037037037034E-3</v>
      </c>
      <c r="E64" s="881">
        <v>7.4074074074074056E-2</v>
      </c>
      <c r="F64" s="881" t="s">
        <v>452</v>
      </c>
      <c r="G64" s="883"/>
      <c r="H64" s="882" t="s">
        <v>452</v>
      </c>
      <c r="I64" s="881">
        <v>0</v>
      </c>
      <c r="J64" s="884"/>
      <c r="K64" s="881" t="s">
        <v>452</v>
      </c>
      <c r="L64" s="881" t="s">
        <v>452</v>
      </c>
      <c r="M64" s="885"/>
      <c r="N64" s="885"/>
      <c r="O64" s="882">
        <v>5.676803049266729</v>
      </c>
      <c r="P64" s="881">
        <v>0.27032395472698711</v>
      </c>
      <c r="Q64" s="881">
        <v>5.4064790945397423</v>
      </c>
      <c r="R64" s="881" t="s">
        <v>452</v>
      </c>
      <c r="S64" s="883"/>
      <c r="T64" s="882" t="s">
        <v>452</v>
      </c>
      <c r="U64" s="881">
        <v>0</v>
      </c>
      <c r="V64" s="884"/>
      <c r="W64" s="881" t="s">
        <v>452</v>
      </c>
      <c r="X64" s="881" t="s">
        <v>452</v>
      </c>
      <c r="Z64" s="898"/>
      <c r="AA64" s="479" t="s">
        <v>1267</v>
      </c>
      <c r="AC64" s="717"/>
      <c r="AF64" s="839">
        <v>7.7777777777777765E-2</v>
      </c>
      <c r="AG64" s="833">
        <v>3.7037037037037034E-3</v>
      </c>
      <c r="AH64" s="833">
        <v>7.4074074074074056E-2</v>
      </c>
      <c r="AI64" s="833" t="s">
        <v>452</v>
      </c>
      <c r="AJ64" s="832"/>
      <c r="AK64" s="839" t="s">
        <v>452</v>
      </c>
      <c r="AL64" s="833">
        <v>0</v>
      </c>
      <c r="AM64" s="837"/>
      <c r="AN64" s="833" t="s">
        <v>452</v>
      </c>
      <c r="AO64" s="833" t="s">
        <v>452</v>
      </c>
      <c r="AP64" s="834"/>
      <c r="AQ64" s="834"/>
      <c r="AR64" s="839">
        <v>5.676803049266729</v>
      </c>
      <c r="AS64" s="833">
        <v>0.27032395472698711</v>
      </c>
      <c r="AT64" s="833">
        <v>5.4064790945397423</v>
      </c>
      <c r="AU64" s="833" t="s">
        <v>452</v>
      </c>
      <c r="AV64" s="832"/>
      <c r="AW64" s="839" t="s">
        <v>452</v>
      </c>
      <c r="AX64" s="833">
        <v>0</v>
      </c>
      <c r="AY64" s="837"/>
      <c r="AZ64" s="833" t="s">
        <v>452</v>
      </c>
      <c r="BA64" s="833" t="s">
        <v>452</v>
      </c>
    </row>
    <row r="65" spans="1:53">
      <c r="A65" s="764" t="s">
        <v>1031</v>
      </c>
      <c r="B65" s="764" t="s">
        <v>1031</v>
      </c>
      <c r="C65" s="896">
        <v>0.17147845103623999</v>
      </c>
      <c r="D65" s="881">
        <v>6.50660545848806E-2</v>
      </c>
      <c r="E65" s="881">
        <v>0.10641239645135939</v>
      </c>
      <c r="F65" s="881">
        <v>0.13292192740086201</v>
      </c>
      <c r="G65" s="883"/>
      <c r="H65" s="882">
        <v>0.133944403765484</v>
      </c>
      <c r="I65" s="881">
        <v>3.2164948453608247E-2</v>
      </c>
      <c r="J65" s="884"/>
      <c r="K65" s="881">
        <v>0.10177945531187575</v>
      </c>
      <c r="L65" s="881" t="s">
        <v>452</v>
      </c>
      <c r="M65" s="885"/>
      <c r="N65" s="885"/>
      <c r="O65" s="882">
        <v>1.3560968844305261</v>
      </c>
      <c r="P65" s="881">
        <v>0.51455954594607045</v>
      </c>
      <c r="Q65" s="881">
        <v>0.84153733848445567</v>
      </c>
      <c r="R65" s="881">
        <v>1.0514967967929543</v>
      </c>
      <c r="S65" s="883"/>
      <c r="T65" s="882">
        <v>1.05958523369136</v>
      </c>
      <c r="U65" s="881">
        <v>0.254368908292671</v>
      </c>
      <c r="V65" s="884"/>
      <c r="W65" s="881">
        <v>0.80521632539868904</v>
      </c>
      <c r="X65" s="881">
        <v>0</v>
      </c>
      <c r="Z65" s="898"/>
      <c r="AA65" s="479" t="s">
        <v>1267</v>
      </c>
      <c r="AC65" s="717"/>
      <c r="AF65" s="839">
        <v>0.17147845103623999</v>
      </c>
      <c r="AG65" s="833">
        <v>6.50660545848806E-2</v>
      </c>
      <c r="AH65" s="833">
        <v>0.10641239645135939</v>
      </c>
      <c r="AI65" s="833">
        <v>0.13292192740086201</v>
      </c>
      <c r="AJ65" s="832"/>
      <c r="AK65" s="839">
        <v>0.133944403765484</v>
      </c>
      <c r="AL65" s="833">
        <v>3.2164948453608247E-2</v>
      </c>
      <c r="AM65" s="837"/>
      <c r="AN65" s="833">
        <v>0.10177945531187575</v>
      </c>
      <c r="AO65" s="833" t="s">
        <v>452</v>
      </c>
      <c r="AP65" s="834"/>
      <c r="AQ65" s="834"/>
      <c r="AR65" s="839">
        <v>1.3560968844305261</v>
      </c>
      <c r="AS65" s="833">
        <v>0.51455954594607045</v>
      </c>
      <c r="AT65" s="833">
        <v>0.84153733848445567</v>
      </c>
      <c r="AU65" s="833">
        <v>1.0514967967929543</v>
      </c>
      <c r="AV65" s="832"/>
      <c r="AW65" s="839">
        <v>1.05958523369136</v>
      </c>
      <c r="AX65" s="833">
        <v>0.254368908292671</v>
      </c>
      <c r="AY65" s="837"/>
      <c r="AZ65" s="833">
        <v>0.80521632539868904</v>
      </c>
      <c r="BA65" s="833">
        <v>0</v>
      </c>
    </row>
    <row r="66" spans="1:53">
      <c r="A66" s="764" t="s">
        <v>1032</v>
      </c>
      <c r="B66" s="764" t="s">
        <v>1032</v>
      </c>
      <c r="C66" s="896">
        <v>0.22905027932960892</v>
      </c>
      <c r="D66" s="881">
        <v>8.9385474860335198E-2</v>
      </c>
      <c r="E66" s="881">
        <v>0.13966480446927373</v>
      </c>
      <c r="F66" s="881" t="s">
        <v>452</v>
      </c>
      <c r="G66" s="883"/>
      <c r="H66" s="882" t="s">
        <v>452</v>
      </c>
      <c r="I66" s="881" t="s">
        <v>452</v>
      </c>
      <c r="J66" s="884"/>
      <c r="K66" s="881" t="s">
        <v>452</v>
      </c>
      <c r="L66" s="881" t="s">
        <v>452</v>
      </c>
      <c r="M66" s="885"/>
      <c r="N66" s="885"/>
      <c r="O66" s="882">
        <v>9.1737862852004071</v>
      </c>
      <c r="P66" s="881">
        <v>3.5800141600782078</v>
      </c>
      <c r="Q66" s="881">
        <v>5.5937721251221992</v>
      </c>
      <c r="R66" s="881" t="s">
        <v>452</v>
      </c>
      <c r="S66" s="883"/>
      <c r="T66" s="882" t="s">
        <v>452</v>
      </c>
      <c r="U66" s="881" t="s">
        <v>452</v>
      </c>
      <c r="V66" s="884"/>
      <c r="W66" s="881" t="s">
        <v>452</v>
      </c>
      <c r="X66" s="881" t="s">
        <v>452</v>
      </c>
      <c r="Z66" s="898"/>
      <c r="AA66" s="479" t="s">
        <v>1267</v>
      </c>
      <c r="AC66" s="717"/>
      <c r="AF66" s="839">
        <v>0.22905027932960892</v>
      </c>
      <c r="AG66" s="833">
        <v>8.9385474860335198E-2</v>
      </c>
      <c r="AH66" s="833">
        <v>0.13966480446927373</v>
      </c>
      <c r="AI66" s="833" t="s">
        <v>452</v>
      </c>
      <c r="AJ66" s="832"/>
      <c r="AK66" s="839" t="s">
        <v>452</v>
      </c>
      <c r="AL66" s="833" t="s">
        <v>452</v>
      </c>
      <c r="AM66" s="837"/>
      <c r="AN66" s="833" t="s">
        <v>452</v>
      </c>
      <c r="AO66" s="833" t="s">
        <v>452</v>
      </c>
      <c r="AP66" s="834"/>
      <c r="AQ66" s="834"/>
      <c r="AR66" s="839">
        <v>9.1737862852004071</v>
      </c>
      <c r="AS66" s="833">
        <v>3.5800141600782078</v>
      </c>
      <c r="AT66" s="833">
        <v>5.5937721251221992</v>
      </c>
      <c r="AU66" s="833" t="s">
        <v>452</v>
      </c>
      <c r="AV66" s="832"/>
      <c r="AW66" s="839" t="s">
        <v>452</v>
      </c>
      <c r="AX66" s="833" t="s">
        <v>452</v>
      </c>
      <c r="AY66" s="837"/>
      <c r="AZ66" s="833" t="s">
        <v>452</v>
      </c>
      <c r="BA66" s="833" t="s">
        <v>452</v>
      </c>
    </row>
    <row r="67" spans="1:53">
      <c r="A67" s="764" t="s">
        <v>1033</v>
      </c>
      <c r="B67" s="764" t="s">
        <v>1033</v>
      </c>
      <c r="C67" s="896">
        <v>1.0470588235294118</v>
      </c>
      <c r="D67" s="881">
        <v>0.37058823529411766</v>
      </c>
      <c r="E67" s="881">
        <v>0.67647058823529416</v>
      </c>
      <c r="F67" s="881" t="s">
        <v>452</v>
      </c>
      <c r="G67" s="883"/>
      <c r="H67" s="882">
        <v>1.1462611764705881</v>
      </c>
      <c r="I67" s="881">
        <v>0.85214352941176463</v>
      </c>
      <c r="J67" s="884"/>
      <c r="K67" s="881">
        <v>0.29411764705882354</v>
      </c>
      <c r="L67" s="881" t="s">
        <v>452</v>
      </c>
      <c r="M67" s="885"/>
      <c r="N67" s="885"/>
      <c r="O67" s="882">
        <v>2.4574705724801955</v>
      </c>
      <c r="P67" s="881">
        <v>0.86977891048456346</v>
      </c>
      <c r="Q67" s="881">
        <v>1.5876916619956321</v>
      </c>
      <c r="R67" s="881" t="s">
        <v>452</v>
      </c>
      <c r="S67" s="883"/>
      <c r="T67" s="882">
        <v>2.6903007226067963</v>
      </c>
      <c r="U67" s="881">
        <v>2</v>
      </c>
      <c r="V67" s="884"/>
      <c r="W67" s="881">
        <v>0.69030072260679642</v>
      </c>
      <c r="X67" s="881" t="s">
        <v>452</v>
      </c>
      <c r="Z67" s="898"/>
      <c r="AA67" s="479" t="s">
        <v>1267</v>
      </c>
      <c r="AC67" s="717"/>
      <c r="AF67" s="839">
        <v>1.0470588235294118</v>
      </c>
      <c r="AG67" s="833">
        <v>0.37058823529411766</v>
      </c>
      <c r="AH67" s="833">
        <v>0.67647058823529416</v>
      </c>
      <c r="AI67" s="833" t="s">
        <v>452</v>
      </c>
      <c r="AJ67" s="832"/>
      <c r="AK67" s="839">
        <v>1.1462611764705881</v>
      </c>
      <c r="AL67" s="833">
        <v>0.85214352941176463</v>
      </c>
      <c r="AM67" s="837"/>
      <c r="AN67" s="833">
        <v>0.29411764705882354</v>
      </c>
      <c r="AO67" s="833" t="s">
        <v>452</v>
      </c>
      <c r="AP67" s="834"/>
      <c r="AQ67" s="834"/>
      <c r="AR67" s="839">
        <v>2.4574705724801955</v>
      </c>
      <c r="AS67" s="833">
        <v>0.86977891048456346</v>
      </c>
      <c r="AT67" s="833">
        <v>1.5876916619956321</v>
      </c>
      <c r="AU67" s="833" t="s">
        <v>452</v>
      </c>
      <c r="AV67" s="832"/>
      <c r="AW67" s="839">
        <v>2.6903007226067963</v>
      </c>
      <c r="AX67" s="833">
        <v>2</v>
      </c>
      <c r="AY67" s="837"/>
      <c r="AZ67" s="833">
        <v>0.69030072260679642</v>
      </c>
      <c r="BA67" s="833" t="s">
        <v>452</v>
      </c>
    </row>
    <row r="68" spans="1:53">
      <c r="A68" s="764" t="s">
        <v>1034</v>
      </c>
      <c r="B68" s="764" t="s">
        <v>1034</v>
      </c>
      <c r="C68" s="896">
        <v>0.35</v>
      </c>
      <c r="D68" s="881">
        <v>0.02</v>
      </c>
      <c r="E68" s="881">
        <v>0.32999999999999996</v>
      </c>
      <c r="F68" s="881">
        <v>7.0000000000000007E-2</v>
      </c>
      <c r="G68" s="883"/>
      <c r="H68" s="882">
        <v>0.02</v>
      </c>
      <c r="I68" s="881">
        <v>0.02</v>
      </c>
      <c r="J68" s="884"/>
      <c r="K68" s="881" t="s">
        <v>452</v>
      </c>
      <c r="L68" s="881" t="s">
        <v>452</v>
      </c>
      <c r="M68" s="885"/>
      <c r="N68" s="885"/>
      <c r="O68" s="882">
        <v>3.5326772646984606</v>
      </c>
      <c r="P68" s="881">
        <v>0.20186727226848347</v>
      </c>
      <c r="Q68" s="881">
        <v>3.3308099924299772</v>
      </c>
      <c r="R68" s="881">
        <v>0.70653545293969211</v>
      </c>
      <c r="S68" s="883"/>
      <c r="T68" s="882">
        <v>0.20186727226848347</v>
      </c>
      <c r="U68" s="881">
        <v>0.20186727226848347</v>
      </c>
      <c r="V68" s="884"/>
      <c r="W68" s="881" t="s">
        <v>452</v>
      </c>
      <c r="X68" s="881" t="s">
        <v>452</v>
      </c>
      <c r="Z68" s="898"/>
      <c r="AA68" s="479" t="s">
        <v>1267</v>
      </c>
      <c r="AC68" s="717"/>
      <c r="AF68" s="839">
        <v>0.35</v>
      </c>
      <c r="AG68" s="833">
        <v>0.02</v>
      </c>
      <c r="AH68" s="833">
        <v>0.32999999999999996</v>
      </c>
      <c r="AI68" s="833">
        <v>7.0000000000000007E-2</v>
      </c>
      <c r="AJ68" s="832"/>
      <c r="AK68" s="839">
        <v>0.02</v>
      </c>
      <c r="AL68" s="833">
        <v>0.02</v>
      </c>
      <c r="AM68" s="837"/>
      <c r="AN68" s="833" t="s">
        <v>452</v>
      </c>
      <c r="AO68" s="833" t="s">
        <v>452</v>
      </c>
      <c r="AP68" s="834"/>
      <c r="AQ68" s="834"/>
      <c r="AR68" s="839">
        <v>3.5326772646984606</v>
      </c>
      <c r="AS68" s="833">
        <v>0.20186727226848347</v>
      </c>
      <c r="AT68" s="833">
        <v>3.3308099924299772</v>
      </c>
      <c r="AU68" s="833">
        <v>0.70653545293969211</v>
      </c>
      <c r="AV68" s="832"/>
      <c r="AW68" s="839">
        <v>0.20186727226848347</v>
      </c>
      <c r="AX68" s="833">
        <v>0.20186727226848347</v>
      </c>
      <c r="AY68" s="837"/>
      <c r="AZ68" s="833" t="s">
        <v>452</v>
      </c>
      <c r="BA68" s="833" t="s">
        <v>452</v>
      </c>
    </row>
    <row r="69" spans="1:53">
      <c r="A69" s="764" t="s">
        <v>26</v>
      </c>
      <c r="B69" s="764" t="s">
        <v>26</v>
      </c>
      <c r="C69" s="896">
        <v>0.95744680851063824</v>
      </c>
      <c r="D69" s="881">
        <v>0.50531914893617025</v>
      </c>
      <c r="E69" s="881">
        <v>0.45212765957446804</v>
      </c>
      <c r="F69" s="881">
        <v>0</v>
      </c>
      <c r="G69" s="883"/>
      <c r="H69" s="882">
        <v>0.93085106382978722</v>
      </c>
      <c r="I69" s="881">
        <v>0.66489361702127658</v>
      </c>
      <c r="J69" s="884"/>
      <c r="K69" s="881">
        <v>0.26595744680851063</v>
      </c>
      <c r="L69" s="881">
        <v>0</v>
      </c>
      <c r="M69" s="885"/>
      <c r="N69" s="885"/>
      <c r="O69" s="882">
        <v>2.756890503201439</v>
      </c>
      <c r="P69" s="881">
        <v>1.4550255433563151</v>
      </c>
      <c r="Q69" s="881">
        <v>1.3018649598451237</v>
      </c>
      <c r="R69" s="881">
        <v>0</v>
      </c>
      <c r="S69" s="883"/>
      <c r="T69" s="882">
        <v>2.6803102114458435</v>
      </c>
      <c r="U69" s="881">
        <v>1.9145072938898882</v>
      </c>
      <c r="V69" s="884"/>
      <c r="W69" s="881">
        <v>0.76580291755595531</v>
      </c>
      <c r="X69" s="881">
        <v>0</v>
      </c>
      <c r="Z69" s="898"/>
      <c r="AA69" s="479" t="s">
        <v>1267</v>
      </c>
      <c r="AC69" s="717"/>
      <c r="AF69" s="839">
        <v>0.95744680851063824</v>
      </c>
      <c r="AG69" s="833">
        <v>0.50531914893617025</v>
      </c>
      <c r="AH69" s="833">
        <v>0.45212765957446804</v>
      </c>
      <c r="AI69" s="833">
        <v>0</v>
      </c>
      <c r="AJ69" s="832"/>
      <c r="AK69" s="839">
        <v>0.93085106382978722</v>
      </c>
      <c r="AL69" s="833">
        <v>0.66489361702127658</v>
      </c>
      <c r="AM69" s="837"/>
      <c r="AN69" s="833">
        <v>0.26595744680851063</v>
      </c>
      <c r="AO69" s="833">
        <v>0</v>
      </c>
      <c r="AP69" s="834"/>
      <c r="AQ69" s="834"/>
      <c r="AR69" s="839">
        <v>2.756890503201439</v>
      </c>
      <c r="AS69" s="833">
        <v>1.4550255433563151</v>
      </c>
      <c r="AT69" s="833">
        <v>1.3018649598451237</v>
      </c>
      <c r="AU69" s="833">
        <v>0</v>
      </c>
      <c r="AV69" s="832"/>
      <c r="AW69" s="839">
        <v>2.6803102114458435</v>
      </c>
      <c r="AX69" s="833">
        <v>1.9145072938898882</v>
      </c>
      <c r="AY69" s="837"/>
      <c r="AZ69" s="833">
        <v>0.76580291755595531</v>
      </c>
      <c r="BA69" s="833">
        <v>0</v>
      </c>
    </row>
    <row r="70" spans="1:53">
      <c r="A70" s="764" t="s">
        <v>1035</v>
      </c>
      <c r="B70" s="764" t="s">
        <v>1035</v>
      </c>
      <c r="C70" s="896">
        <v>0.22</v>
      </c>
      <c r="D70" s="881">
        <v>0.06</v>
      </c>
      <c r="E70" s="881">
        <v>0.16</v>
      </c>
      <c r="F70" s="881">
        <v>6.5000000000000002E-2</v>
      </c>
      <c r="G70" s="883"/>
      <c r="H70" s="882">
        <v>0.245</v>
      </c>
      <c r="I70" s="881">
        <v>0.14499999999999999</v>
      </c>
      <c r="J70" s="884"/>
      <c r="K70" s="881">
        <v>0.1</v>
      </c>
      <c r="L70" s="881" t="s">
        <v>452</v>
      </c>
      <c r="M70" s="885"/>
      <c r="N70" s="885"/>
      <c r="O70" s="882">
        <v>4.9794261280620837</v>
      </c>
      <c r="P70" s="881">
        <v>1.3580253076532953</v>
      </c>
      <c r="Q70" s="881">
        <v>3.6214008204087884</v>
      </c>
      <c r="R70" s="881">
        <v>1.4711940832910702</v>
      </c>
      <c r="S70" s="883"/>
      <c r="T70" s="882">
        <v>5.5452700062509566</v>
      </c>
      <c r="U70" s="881">
        <v>3.2818944934954639</v>
      </c>
      <c r="V70" s="884"/>
      <c r="W70" s="881">
        <v>2.2633755127554926</v>
      </c>
      <c r="X70" s="881" t="s">
        <v>452</v>
      </c>
      <c r="Z70" s="898"/>
      <c r="AA70" s="479" t="s">
        <v>1267</v>
      </c>
      <c r="AC70" s="717"/>
      <c r="AF70" s="839">
        <v>0.22</v>
      </c>
      <c r="AG70" s="833">
        <v>0.06</v>
      </c>
      <c r="AH70" s="833">
        <v>0.16</v>
      </c>
      <c r="AI70" s="833">
        <v>6.5000000000000002E-2</v>
      </c>
      <c r="AJ70" s="832"/>
      <c r="AK70" s="839">
        <v>0.245</v>
      </c>
      <c r="AL70" s="833">
        <v>0.14499999999999999</v>
      </c>
      <c r="AM70" s="837"/>
      <c r="AN70" s="833">
        <v>0.1</v>
      </c>
      <c r="AO70" s="833" t="s">
        <v>452</v>
      </c>
      <c r="AP70" s="834"/>
      <c r="AQ70" s="834"/>
      <c r="AR70" s="839">
        <v>4.9794261280620837</v>
      </c>
      <c r="AS70" s="833">
        <v>1.3580253076532953</v>
      </c>
      <c r="AT70" s="833">
        <v>3.6214008204087884</v>
      </c>
      <c r="AU70" s="833">
        <v>1.4711940832910702</v>
      </c>
      <c r="AV70" s="832"/>
      <c r="AW70" s="839">
        <v>5.5452700062509566</v>
      </c>
      <c r="AX70" s="833">
        <v>3.2818944934954639</v>
      </c>
      <c r="AY70" s="837"/>
      <c r="AZ70" s="833">
        <v>2.2633755127554926</v>
      </c>
      <c r="BA70" s="833" t="s">
        <v>452</v>
      </c>
    </row>
    <row r="71" spans="1:53">
      <c r="A71" s="764" t="s">
        <v>1036</v>
      </c>
      <c r="B71" s="764" t="s">
        <v>1036</v>
      </c>
      <c r="C71" s="896">
        <v>0.4</v>
      </c>
      <c r="D71" s="881">
        <v>0.3</v>
      </c>
      <c r="E71" s="881">
        <v>0.10000000000000003</v>
      </c>
      <c r="F71" s="881" t="s">
        <v>452</v>
      </c>
      <c r="G71" s="883"/>
      <c r="H71" s="882">
        <v>0.5</v>
      </c>
      <c r="I71" s="881" t="s">
        <v>452</v>
      </c>
      <c r="J71" s="884"/>
      <c r="K71" s="881">
        <v>0.5</v>
      </c>
      <c r="L71" s="881" t="s">
        <v>452</v>
      </c>
      <c r="M71" s="885"/>
      <c r="N71" s="885"/>
      <c r="O71" s="882">
        <v>0.6</v>
      </c>
      <c r="P71" s="881">
        <v>0.6</v>
      </c>
      <c r="Q71" s="881">
        <v>0</v>
      </c>
      <c r="R71" s="881" t="s">
        <v>452</v>
      </c>
      <c r="S71" s="883"/>
      <c r="T71" s="882">
        <v>0.8</v>
      </c>
      <c r="U71" s="881" t="s">
        <v>452</v>
      </c>
      <c r="V71" s="884"/>
      <c r="W71" s="881">
        <v>0.8</v>
      </c>
      <c r="X71" s="881" t="s">
        <v>452</v>
      </c>
      <c r="Z71" s="898"/>
      <c r="AA71" s="479" t="s">
        <v>1267</v>
      </c>
      <c r="AC71" s="717"/>
      <c r="AF71" s="839">
        <v>0.4</v>
      </c>
      <c r="AG71" s="833">
        <v>0.3</v>
      </c>
      <c r="AH71" s="833">
        <v>0.10000000000000003</v>
      </c>
      <c r="AI71" s="833" t="s">
        <v>452</v>
      </c>
      <c r="AJ71" s="832"/>
      <c r="AK71" s="839">
        <v>0.5</v>
      </c>
      <c r="AL71" s="833" t="s">
        <v>452</v>
      </c>
      <c r="AM71" s="837"/>
      <c r="AN71" s="833">
        <v>0.5</v>
      </c>
      <c r="AO71" s="833" t="s">
        <v>452</v>
      </c>
      <c r="AP71" s="834"/>
      <c r="AQ71" s="834"/>
      <c r="AR71" s="839">
        <v>0.6</v>
      </c>
      <c r="AS71" s="833">
        <v>0.6</v>
      </c>
      <c r="AT71" s="833">
        <v>0</v>
      </c>
      <c r="AU71" s="833" t="s">
        <v>452</v>
      </c>
      <c r="AV71" s="832"/>
      <c r="AW71" s="839">
        <v>0.8</v>
      </c>
      <c r="AX71" s="833" t="s">
        <v>452</v>
      </c>
      <c r="AY71" s="837"/>
      <c r="AZ71" s="833">
        <v>0.8</v>
      </c>
      <c r="BA71" s="833" t="s">
        <v>452</v>
      </c>
    </row>
    <row r="72" spans="1:53">
      <c r="A72" s="764" t="s">
        <v>1037</v>
      </c>
      <c r="B72" s="764" t="s">
        <v>1037</v>
      </c>
      <c r="C72" s="896">
        <v>0.01</v>
      </c>
      <c r="D72" s="881" t="s">
        <v>452</v>
      </c>
      <c r="E72" s="881" t="s">
        <v>452</v>
      </c>
      <c r="F72" s="881" t="s">
        <v>452</v>
      </c>
      <c r="G72" s="883"/>
      <c r="H72" s="882">
        <v>5.5E-2</v>
      </c>
      <c r="I72" s="881">
        <v>5.5E-2</v>
      </c>
      <c r="J72" s="884"/>
      <c r="K72" s="881" t="s">
        <v>452</v>
      </c>
      <c r="L72" s="881" t="s">
        <v>452</v>
      </c>
      <c r="M72" s="885"/>
      <c r="N72" s="885"/>
      <c r="O72" s="882">
        <v>0.58606651574407997</v>
      </c>
      <c r="P72" s="881" t="s">
        <v>452</v>
      </c>
      <c r="Q72" s="881" t="s">
        <v>452</v>
      </c>
      <c r="R72" s="881" t="s">
        <v>452</v>
      </c>
      <c r="S72" s="883"/>
      <c r="T72" s="882">
        <v>3.2233658365924391</v>
      </c>
      <c r="U72" s="881">
        <v>3.2233658365924391</v>
      </c>
      <c r="V72" s="884"/>
      <c r="W72" s="881" t="s">
        <v>452</v>
      </c>
      <c r="X72" s="881" t="s">
        <v>452</v>
      </c>
      <c r="Z72" s="898"/>
      <c r="AA72" s="479" t="s">
        <v>1267</v>
      </c>
      <c r="AC72" s="717"/>
      <c r="AF72" s="839">
        <v>0.01</v>
      </c>
      <c r="AG72" s="833" t="s">
        <v>452</v>
      </c>
      <c r="AH72" s="833" t="s">
        <v>452</v>
      </c>
      <c r="AI72" s="833" t="s">
        <v>452</v>
      </c>
      <c r="AJ72" s="832"/>
      <c r="AK72" s="839">
        <v>5.5E-2</v>
      </c>
      <c r="AL72" s="833">
        <v>5.5E-2</v>
      </c>
      <c r="AM72" s="837"/>
      <c r="AN72" s="833" t="s">
        <v>452</v>
      </c>
      <c r="AO72" s="833" t="s">
        <v>452</v>
      </c>
      <c r="AP72" s="834"/>
      <c r="AQ72" s="834"/>
      <c r="AR72" s="839">
        <v>0.58606651574407997</v>
      </c>
      <c r="AS72" s="833" t="s">
        <v>452</v>
      </c>
      <c r="AT72" s="833" t="s">
        <v>452</v>
      </c>
      <c r="AU72" s="833" t="s">
        <v>452</v>
      </c>
      <c r="AV72" s="832"/>
      <c r="AW72" s="839">
        <v>3.2233658365924391</v>
      </c>
      <c r="AX72" s="833">
        <v>3.2233658365924391</v>
      </c>
      <c r="AY72" s="837"/>
      <c r="AZ72" s="833" t="s">
        <v>452</v>
      </c>
      <c r="BA72" s="833" t="s">
        <v>452</v>
      </c>
    </row>
    <row r="73" spans="1:53">
      <c r="A73" s="764" t="s">
        <v>1038</v>
      </c>
      <c r="B73" s="764" t="s">
        <v>1038</v>
      </c>
      <c r="C73" s="896">
        <v>2.0262390670553936</v>
      </c>
      <c r="D73" s="881">
        <v>0.49708454810495628</v>
      </c>
      <c r="E73" s="881">
        <v>1.5291545189504372</v>
      </c>
      <c r="F73" s="881">
        <v>0</v>
      </c>
      <c r="G73" s="883"/>
      <c r="H73" s="882">
        <v>4.1399416909620994</v>
      </c>
      <c r="I73" s="881">
        <v>0.23323615160349853</v>
      </c>
      <c r="J73" s="884"/>
      <c r="K73" s="881">
        <v>2.8862973760932946</v>
      </c>
      <c r="L73" s="881">
        <v>1.0204081632653061</v>
      </c>
      <c r="M73" s="885"/>
      <c r="N73" s="885"/>
      <c r="O73" s="882">
        <v>5.5002060455864914</v>
      </c>
      <c r="P73" s="881">
        <v>1.3493311234136645</v>
      </c>
      <c r="Q73" s="881">
        <v>4.1508749221728269</v>
      </c>
      <c r="R73" s="881">
        <v>0</v>
      </c>
      <c r="S73" s="883"/>
      <c r="T73" s="882">
        <v>11.237831057169521</v>
      </c>
      <c r="U73" s="881">
        <v>0.63311724265743785</v>
      </c>
      <c r="V73" s="884"/>
      <c r="W73" s="881">
        <v>7.8348258778857929</v>
      </c>
      <c r="X73" s="881">
        <v>2.7698879366262905</v>
      </c>
      <c r="Z73" s="898"/>
      <c r="AB73" s="479" t="s">
        <v>1276</v>
      </c>
      <c r="AC73" s="717"/>
      <c r="AF73" s="839">
        <v>2.0262390670553936</v>
      </c>
      <c r="AG73" s="833">
        <v>0.49708454810495628</v>
      </c>
      <c r="AH73" s="833">
        <v>1.5291545189504372</v>
      </c>
      <c r="AI73" s="833">
        <v>0</v>
      </c>
      <c r="AJ73" s="832"/>
      <c r="AK73" s="839">
        <v>4.1399416909620994</v>
      </c>
      <c r="AL73" s="833">
        <v>0.23323615160349853</v>
      </c>
      <c r="AM73" s="837"/>
      <c r="AN73" s="833">
        <v>2.8862973760932946</v>
      </c>
      <c r="AO73" s="833">
        <v>1.0204081632653061</v>
      </c>
      <c r="AP73" s="834"/>
      <c r="AQ73" s="834"/>
      <c r="AR73" s="839">
        <v>5.5002060455864914</v>
      </c>
      <c r="AS73" s="833">
        <v>1.3493311234136645</v>
      </c>
      <c r="AT73" s="833">
        <v>4.1508749221728269</v>
      </c>
      <c r="AU73" s="833">
        <v>0</v>
      </c>
      <c r="AV73" s="832"/>
      <c r="AW73" s="839">
        <v>11.237831057169521</v>
      </c>
      <c r="AX73" s="833">
        <v>0.63311724265743785</v>
      </c>
      <c r="AY73" s="837"/>
      <c r="AZ73" s="833">
        <v>7.8348258778857929</v>
      </c>
      <c r="BA73" s="833">
        <v>2.7698879366262905</v>
      </c>
    </row>
    <row r="74" spans="1:53">
      <c r="A74" s="764" t="s">
        <v>1039</v>
      </c>
      <c r="B74" s="764" t="s">
        <v>1039</v>
      </c>
      <c r="C74" s="896">
        <v>0.87</v>
      </c>
      <c r="D74" s="881">
        <v>0.17499999999999999</v>
      </c>
      <c r="E74" s="881">
        <v>0.69500000000000006</v>
      </c>
      <c r="F74" s="881" t="s">
        <v>452</v>
      </c>
      <c r="G74" s="883"/>
      <c r="H74" s="882" t="s">
        <v>452</v>
      </c>
      <c r="I74" s="881" t="s">
        <v>452</v>
      </c>
      <c r="J74" s="884"/>
      <c r="K74" s="881" t="s">
        <v>452</v>
      </c>
      <c r="L74" s="881" t="s">
        <v>452</v>
      </c>
      <c r="M74" s="885"/>
      <c r="N74" s="885"/>
      <c r="O74" s="882">
        <v>4.2699999999999996</v>
      </c>
      <c r="P74" s="881">
        <v>0.87</v>
      </c>
      <c r="Q74" s="881">
        <v>3.3999999999999995</v>
      </c>
      <c r="R74" s="881" t="s">
        <v>452</v>
      </c>
      <c r="S74" s="883"/>
      <c r="T74" s="882" t="s">
        <v>452</v>
      </c>
      <c r="U74" s="881" t="s">
        <v>452</v>
      </c>
      <c r="V74" s="884"/>
      <c r="W74" s="881" t="s">
        <v>452</v>
      </c>
      <c r="X74" s="881" t="s">
        <v>452</v>
      </c>
      <c r="Z74" s="898"/>
      <c r="AA74" s="479" t="s">
        <v>1267</v>
      </c>
      <c r="AC74" s="717"/>
      <c r="AF74" s="839">
        <v>0.87</v>
      </c>
      <c r="AG74" s="833">
        <v>0.17499999999999999</v>
      </c>
      <c r="AH74" s="833">
        <v>0.69500000000000006</v>
      </c>
      <c r="AI74" s="833" t="s">
        <v>452</v>
      </c>
      <c r="AJ74" s="832"/>
      <c r="AK74" s="839" t="s">
        <v>452</v>
      </c>
      <c r="AL74" s="833" t="s">
        <v>452</v>
      </c>
      <c r="AM74" s="837"/>
      <c r="AN74" s="833" t="s">
        <v>452</v>
      </c>
      <c r="AO74" s="833" t="s">
        <v>452</v>
      </c>
      <c r="AP74" s="834"/>
      <c r="AQ74" s="834"/>
      <c r="AR74" s="839">
        <v>4.2699999999999996</v>
      </c>
      <c r="AS74" s="833">
        <v>0.87</v>
      </c>
      <c r="AT74" s="833">
        <v>3.3999999999999995</v>
      </c>
      <c r="AU74" s="833" t="s">
        <v>452</v>
      </c>
      <c r="AV74" s="832"/>
      <c r="AW74" s="839" t="s">
        <v>452</v>
      </c>
      <c r="AX74" s="833" t="s">
        <v>452</v>
      </c>
      <c r="AY74" s="837"/>
      <c r="AZ74" s="833" t="s">
        <v>452</v>
      </c>
      <c r="BA74" s="833" t="s">
        <v>452</v>
      </c>
    </row>
    <row r="75" spans="1:53">
      <c r="A75" s="764" t="s">
        <v>1040</v>
      </c>
      <c r="B75" s="764" t="s">
        <v>1040</v>
      </c>
      <c r="C75" s="896">
        <v>0.27411802102506777</v>
      </c>
      <c r="D75" s="881">
        <v>0.12221822593474357</v>
      </c>
      <c r="E75" s="881">
        <v>0.15189979509032417</v>
      </c>
      <c r="F75" s="881">
        <v>8.7298732810531132E-2</v>
      </c>
      <c r="G75" s="883"/>
      <c r="H75" s="882">
        <v>0.11348835265369046</v>
      </c>
      <c r="I75" s="881" t="s">
        <v>452</v>
      </c>
      <c r="J75" s="884"/>
      <c r="K75" s="881">
        <v>0.11348835265369046</v>
      </c>
      <c r="L75" s="881" t="s">
        <v>452</v>
      </c>
      <c r="M75" s="885"/>
      <c r="N75" s="885"/>
      <c r="O75" s="882">
        <v>1.7014574608745749</v>
      </c>
      <c r="P75" s="881">
        <v>0.75861160675936457</v>
      </c>
      <c r="Q75" s="881">
        <v>0.94284585411521027</v>
      </c>
      <c r="R75" s="881">
        <v>0.54186543339954607</v>
      </c>
      <c r="S75" s="883"/>
      <c r="T75" s="882">
        <v>0.70442506341941002</v>
      </c>
      <c r="U75" s="881" t="s">
        <v>452</v>
      </c>
      <c r="V75" s="884"/>
      <c r="W75" s="881">
        <v>0.70442506341941002</v>
      </c>
      <c r="X75" s="881" t="s">
        <v>452</v>
      </c>
      <c r="Z75" s="898"/>
      <c r="AA75" s="479" t="s">
        <v>1267</v>
      </c>
      <c r="AC75" s="717"/>
      <c r="AF75" s="839">
        <v>0.27411802102506777</v>
      </c>
      <c r="AG75" s="833">
        <v>0.12221822593474357</v>
      </c>
      <c r="AH75" s="833">
        <v>0.15189979509032417</v>
      </c>
      <c r="AI75" s="833">
        <v>8.7298732810531132E-2</v>
      </c>
      <c r="AJ75" s="832"/>
      <c r="AK75" s="839">
        <v>0.11348835265369046</v>
      </c>
      <c r="AL75" s="833" t="s">
        <v>452</v>
      </c>
      <c r="AM75" s="837"/>
      <c r="AN75" s="833">
        <v>0.11348835265369046</v>
      </c>
      <c r="AO75" s="833" t="s">
        <v>452</v>
      </c>
      <c r="AP75" s="834"/>
      <c r="AQ75" s="834"/>
      <c r="AR75" s="839">
        <v>1.7014574608745749</v>
      </c>
      <c r="AS75" s="833">
        <v>0.75861160675936457</v>
      </c>
      <c r="AT75" s="833">
        <v>0.94284585411521027</v>
      </c>
      <c r="AU75" s="833">
        <v>0.54186543339954607</v>
      </c>
      <c r="AV75" s="832"/>
      <c r="AW75" s="839">
        <v>0.70442506341941002</v>
      </c>
      <c r="AX75" s="833" t="s">
        <v>452</v>
      </c>
      <c r="AY75" s="837"/>
      <c r="AZ75" s="833">
        <v>0.70442506341941002</v>
      </c>
      <c r="BA75" s="833" t="s">
        <v>452</v>
      </c>
    </row>
    <row r="76" spans="1:53">
      <c r="A76" s="764" t="s">
        <v>1041</v>
      </c>
      <c r="B76" s="764" t="s">
        <v>1041</v>
      </c>
      <c r="C76" s="896">
        <v>0.14495467146627655</v>
      </c>
      <c r="D76" s="881" t="s">
        <v>452</v>
      </c>
      <c r="E76" s="881" t="s">
        <v>452</v>
      </c>
      <c r="F76" s="881" t="s">
        <v>452</v>
      </c>
      <c r="G76" s="883"/>
      <c r="H76" s="882" t="s">
        <v>452</v>
      </c>
      <c r="I76" s="881" t="s">
        <v>452</v>
      </c>
      <c r="J76" s="884"/>
      <c r="K76" s="881" t="s">
        <v>452</v>
      </c>
      <c r="L76" s="881" t="s">
        <v>452</v>
      </c>
      <c r="M76" s="885"/>
      <c r="N76" s="885"/>
      <c r="O76" s="882">
        <v>1.2076873278834026</v>
      </c>
      <c r="P76" s="881" t="s">
        <v>452</v>
      </c>
      <c r="Q76" s="881" t="s">
        <v>452</v>
      </c>
      <c r="R76" s="881" t="s">
        <v>452</v>
      </c>
      <c r="S76" s="883"/>
      <c r="T76" s="882" t="s">
        <v>452</v>
      </c>
      <c r="U76" s="881" t="s">
        <v>452</v>
      </c>
      <c r="V76" s="884"/>
      <c r="W76" s="881" t="s">
        <v>452</v>
      </c>
      <c r="X76" s="881" t="s">
        <v>452</v>
      </c>
      <c r="Z76" s="898"/>
      <c r="AA76" s="479" t="s">
        <v>1267</v>
      </c>
      <c r="AC76" s="717"/>
      <c r="AF76" s="839">
        <v>0.14495467146627655</v>
      </c>
      <c r="AG76" s="833" t="s">
        <v>452</v>
      </c>
      <c r="AH76" s="833" t="s">
        <v>452</v>
      </c>
      <c r="AI76" s="833" t="s">
        <v>452</v>
      </c>
      <c r="AJ76" s="832"/>
      <c r="AK76" s="839" t="s">
        <v>452</v>
      </c>
      <c r="AL76" s="833" t="s">
        <v>452</v>
      </c>
      <c r="AM76" s="837"/>
      <c r="AN76" s="833" t="s">
        <v>452</v>
      </c>
      <c r="AO76" s="833" t="s">
        <v>452</v>
      </c>
      <c r="AP76" s="834"/>
      <c r="AQ76" s="834"/>
      <c r="AR76" s="839">
        <v>1.2076873278834026</v>
      </c>
      <c r="AS76" s="833" t="s">
        <v>452</v>
      </c>
      <c r="AT76" s="833" t="s">
        <v>452</v>
      </c>
      <c r="AU76" s="833" t="s">
        <v>452</v>
      </c>
      <c r="AV76" s="832"/>
      <c r="AW76" s="839" t="s">
        <v>452</v>
      </c>
      <c r="AX76" s="833" t="s">
        <v>452</v>
      </c>
      <c r="AY76" s="837"/>
      <c r="AZ76" s="833" t="s">
        <v>452</v>
      </c>
      <c r="BA76" s="833" t="s">
        <v>452</v>
      </c>
    </row>
    <row r="77" spans="1:53">
      <c r="A77" s="764" t="s">
        <v>27</v>
      </c>
      <c r="B77" s="764" t="s">
        <v>27</v>
      </c>
      <c r="C77" s="896" t="str">
        <f>IF(ISNUMBER(INDEX('Database.Jan 12 to SEC'!$G$6:$G$191, MATCH($A77&amp;"USD bn", 'Database.Jan 12 to SEC'!$AD$6:$AD$191, 0))), INDEX('Database.Jan 12 to SEC'!$G$6:$G$191, MATCH($A77&amp;"USD bn", 'Database.Jan 12 to SEC'!$AD$6:$AD$191, 0)), "")</f>
        <v/>
      </c>
      <c r="D77" s="881" t="str">
        <f>IF(ISNUMBER(INDEX('Database.Jan 12 to SEC'!$H$6:$H$191, MATCH($A77&amp;"USD bn", 'Database.Jan 12 to SEC'!$AD$6:$AD$191, 0))), INDEX('Database.Jan 12 to SEC'!$H$6:$H$191, MATCH($A77&amp;"USD bn", 'Database.Jan 12 to SEC'!$AD$6:$AD$191, 0)), "")</f>
        <v/>
      </c>
      <c r="E77" s="881" t="str">
        <f>IF(ISNUMBER(INDEX('Database.Jan 12 to SEC'!$J$6:$J$191, MATCH($A77&amp;"USD bn", 'Database.Jan 12 to SEC'!$AD$6:$AD$191, 0))), INDEX('Database.Jan 12 to SEC'!$J$6:$J$191, MATCH($A77&amp;"USD bn", 'Database.Jan 12 to SEC'!$AD$6:$AD$191, 0)), "")</f>
        <v/>
      </c>
      <c r="F77" s="881" t="str">
        <f>IF(ISNUMBER(INDEX('Database.Jan 12 to SEC'!$L$6:$L$191, MATCH($A77&amp;"USD bn", 'Database.Jan 12 to SEC'!$AD$6:$AD$191, 0))), INDEX('Database.Jan 12 to SEC'!$L$6:$L$191, MATCH($A77&amp;"USD bn", 'Database.Jan 12 to SEC'!$AD$6:$AD$191, 0)), "")</f>
        <v/>
      </c>
      <c r="G77" s="883"/>
      <c r="H77" s="882" t="str">
        <f>IF(ISNUMBER(INDEX('Database.Jan 12 to SEC'!$P$6:$P$191, MATCH($A77&amp;"USD bn", 'Database.Jan 12 to SEC'!$AD$6:$AD$191, 0))), INDEX('Database.Jan 12 to SEC'!$P$6:$P$191, MATCH($A77&amp;"USD bn", 'Database.Jan 12 to SEC'!$AD$6:$AD$191, 0)), "")</f>
        <v/>
      </c>
      <c r="I77" s="881" t="str">
        <f>IF(ISNUMBER(INDEX('Database.Jan 12 to SEC'!$Q$6:$Q$191, MATCH($A77&amp;"USD bn", 'Database.Jan 12 to SEC'!$AD$6:$AD$191, 0))), INDEX('Database.Jan 12 to SEC'!$Q$6:$Q$191, MATCH($A77&amp;"USD bn", 'Database.Jan 12 to SEC'!$AD$6:$AD$191, 0)), "")</f>
        <v/>
      </c>
      <c r="J77" s="884"/>
      <c r="K77" s="881" t="str">
        <f>IF(ISNUMBER(INDEX('Database.Jan 12 to SEC'!$U$6:$U$191, MATCH($A77&amp;"USD bn", 'Database.Jan 12 to SEC'!$AD$6:$AD$191, 0))), INDEX('Database.Jan 12 to SEC'!$U$6:$U$191, MATCH($A77&amp;"USD bn", 'Database.Jan 12 to SEC'!$AD$6:$AD$191, 0)), "")</f>
        <v/>
      </c>
      <c r="L77" s="881" t="str">
        <f>IF(ISNUMBER(INDEX('Database.Jan 12 to SEC'!$W$6:$W$191, MATCH($A77&amp;"USD bn", 'Database.Jan 12 to SEC'!$AD$6:$AD$191, 0))), INDEX('Database.Jan 12 to SEC'!$W$6:$W$191, MATCH($A77&amp;"USD bn", 'Database.Jan 12 to SEC'!$AD$6:$AD$191, 0)), "")</f>
        <v/>
      </c>
      <c r="M77" s="885"/>
      <c r="N77" s="885"/>
      <c r="O77" s="882" t="str">
        <f>IF(ISNUMBER(INDEX('Database.Jan 12 to SEC'!$G$6:$G$191, MATCH($A77&amp;"% GDP", 'Database.Jan 12 to SEC'!$AD$6:$AD$191, 0))), INDEX('Database.Jan 12 to SEC'!$G$6:$G$191, MATCH($A77&amp;"% GDP", 'Database.Jan 12 to SEC'!$AD$6:$AD$191, 0)), "")</f>
        <v/>
      </c>
      <c r="P77" s="881" t="str">
        <f>IF(ISNUMBER(INDEX('Database.Jan 12 to SEC'!$H$6:$H$191, MATCH($A77&amp;"% GDP", 'Database.Jan 12 to SEC'!$AD$6:$AD$191, 0))), INDEX('Database.Jan 12 to SEC'!$H$6:$H$191, MATCH($A77&amp;"% GDP", 'Database.Jan 12 to SEC'!$AD$6:$AD$191, 0)), "")</f>
        <v/>
      </c>
      <c r="Q77" s="881" t="str">
        <f>IF(ISNUMBER(INDEX('Database.Jan 12 to SEC'!$J$6:$J$191, MATCH($A77&amp;"% GDP", 'Database.Jan 12 to SEC'!$AD$6:$AD$191, 0))), INDEX('Database.Jan 12 to SEC'!$J$6:$J$191, MATCH($A77&amp;"% GDP", 'Database.Jan 12 to SEC'!$AD$6:$AD$191, 0)), "")</f>
        <v/>
      </c>
      <c r="R77" s="881" t="str">
        <f>IF(ISNUMBER(INDEX('Database.Jan 12 to SEC'!$L$6:$L$191, MATCH($A77&amp;"% GDP", 'Database.Jan 12 to SEC'!$AD$6:$AD$191, 0))), INDEX('Database.Jan 12 to SEC'!$L$6:$L$191, MATCH($A77&amp;"% GDP", 'Database.Jan 12 to SEC'!$AD$6:$AD$191, 0)), "")</f>
        <v/>
      </c>
      <c r="S77" s="883"/>
      <c r="T77" s="882" t="str">
        <f>IF(ISNUMBER(INDEX('Database.Jan 12 to SEC'!$P$6:$P$191, MATCH($A77&amp;"% GDP", 'Database.Jan 12 to SEC'!$AD$6:$AD$191, 0))), INDEX('Database.Jan 12 to SEC'!$P$6:$P$191, MATCH($A77&amp;"% GDP", 'Database.Jan 12 to SEC'!$AD$6:$AD$191, 0)), "")</f>
        <v/>
      </c>
      <c r="U77" s="881" t="str">
        <f>IF(ISNUMBER(INDEX('Database.Jan 12 to SEC'!$Q$6:$Q$191, MATCH($A77&amp;"% GDP", 'Database.Jan 12 to SEC'!$AD$6:$AD$191, 0))), INDEX('Database.Jan 12 to SEC'!$Q$6:$Q$191, MATCH($A77&amp;"% GDP", 'Database.Jan 12 to SEC'!$AD$6:$AD$191, 0)), "")</f>
        <v/>
      </c>
      <c r="V77" s="884"/>
      <c r="W77" s="881" t="str">
        <f>IF(ISNUMBER(INDEX('Database.Jan 12 to SEC'!$U$6:$U$191, MATCH($A77&amp;"% GDP", 'Database.Jan 12 to SEC'!$AD$6:$AD$191, 0))), INDEX('Database.Jan 12 to SEC'!$U$6:$U$191, MATCH($A77&amp;"% GDP", 'Database.Jan 12 to SEC'!$AD$6:$AD$191, 0)), "")</f>
        <v/>
      </c>
      <c r="X77" s="881" t="str">
        <f>IF(ISNUMBER(INDEX('Database.Jan 12 to SEC'!$W$6:$W$191, MATCH($A77&amp;"% GDP", 'Database.Jan 12 to SEC'!$AD$6:$AD$191, 0))), INDEX('Database.Jan 12 to SEC'!$W$6:$W$191, MATCH($A77&amp;"% GDP", 'Database.Jan 12 to SEC'!$AD$6:$AD$191, 0)), "")</f>
        <v/>
      </c>
      <c r="Z77" s="898"/>
      <c r="AA77" s="479" t="s">
        <v>1267</v>
      </c>
      <c r="AC77" s="562"/>
      <c r="AF77" s="839">
        <v>3.6598885495522917</v>
      </c>
      <c r="AG77" s="833">
        <v>0.9949154937797603</v>
      </c>
      <c r="AH77" s="833">
        <v>2.6649730557725313</v>
      </c>
      <c r="AI77" s="833">
        <v>0.35011688930666052</v>
      </c>
      <c r="AJ77" s="832"/>
      <c r="AK77" s="839">
        <v>2.6970671039589753</v>
      </c>
      <c r="AL77" s="833">
        <v>0.94648265742567239</v>
      </c>
      <c r="AM77" s="837"/>
      <c r="AN77" s="833" t="s">
        <v>452</v>
      </c>
      <c r="AO77" s="833">
        <v>1.7505844465333027</v>
      </c>
      <c r="AP77" s="834"/>
      <c r="AQ77" s="834"/>
      <c r="AR77" s="839">
        <v>5.2881375195675631</v>
      </c>
      <c r="AS77" s="833">
        <v>1.4375437612982611</v>
      </c>
      <c r="AT77" s="833">
        <v>3.8505937582693019</v>
      </c>
      <c r="AU77" s="833">
        <v>0.50588050250965211</v>
      </c>
      <c r="AV77" s="832"/>
      <c r="AW77" s="839">
        <v>3.8969661376660198</v>
      </c>
      <c r="AX77" s="833">
        <v>1.3675636251177596</v>
      </c>
      <c r="AY77" s="837"/>
      <c r="AZ77" s="833" t="s">
        <v>452</v>
      </c>
      <c r="BA77" s="833">
        <v>2.5294025125482604</v>
      </c>
    </row>
    <row r="78" spans="1:53">
      <c r="A78" s="764" t="s">
        <v>1042</v>
      </c>
      <c r="B78" s="764" t="s">
        <v>1042</v>
      </c>
      <c r="C78" s="896">
        <v>4.9060681207454021E-2</v>
      </c>
      <c r="D78" s="881">
        <v>1.9665673901722074E-2</v>
      </c>
      <c r="E78" s="881">
        <v>2.9395007305731947E-2</v>
      </c>
      <c r="F78" s="881" t="s">
        <v>452</v>
      </c>
      <c r="G78" s="883"/>
      <c r="H78" s="882">
        <v>3.1051064055350644E-2</v>
      </c>
      <c r="I78" s="881">
        <v>0</v>
      </c>
      <c r="J78" s="884"/>
      <c r="K78" s="881">
        <v>3.1051064055350644E-2</v>
      </c>
      <c r="L78" s="881" t="s">
        <v>452</v>
      </c>
      <c r="M78" s="885"/>
      <c r="N78" s="885"/>
      <c r="O78" s="882">
        <v>2.8742827643167974</v>
      </c>
      <c r="P78" s="881">
        <v>1.1521386608020918</v>
      </c>
      <c r="Q78" s="881">
        <v>1.722144103514706</v>
      </c>
      <c r="R78" s="881" t="s">
        <v>452</v>
      </c>
      <c r="S78" s="883"/>
      <c r="T78" s="882">
        <v>1.8191663065296186</v>
      </c>
      <c r="U78" s="881">
        <v>0</v>
      </c>
      <c r="V78" s="884"/>
      <c r="W78" s="881">
        <v>1.8191663065296186</v>
      </c>
      <c r="X78" s="881" t="s">
        <v>452</v>
      </c>
      <c r="Z78" s="898"/>
      <c r="AA78" s="479" t="s">
        <v>1267</v>
      </c>
      <c r="AC78" s="717"/>
      <c r="AF78" s="839">
        <v>4.9060681207454021E-2</v>
      </c>
      <c r="AG78" s="833">
        <v>1.9665673901722074E-2</v>
      </c>
      <c r="AH78" s="833">
        <v>2.9395007305731947E-2</v>
      </c>
      <c r="AI78" s="833" t="s">
        <v>452</v>
      </c>
      <c r="AJ78" s="832"/>
      <c r="AK78" s="839">
        <v>3.1051064055350644E-2</v>
      </c>
      <c r="AL78" s="833">
        <v>0</v>
      </c>
      <c r="AM78" s="837"/>
      <c r="AN78" s="833">
        <v>3.1051064055350644E-2</v>
      </c>
      <c r="AO78" s="833" t="s">
        <v>452</v>
      </c>
      <c r="AP78" s="834"/>
      <c r="AQ78" s="834"/>
      <c r="AR78" s="839">
        <v>2.8742827643167974</v>
      </c>
      <c r="AS78" s="833">
        <v>1.1521386608020918</v>
      </c>
      <c r="AT78" s="833">
        <v>1.722144103514706</v>
      </c>
      <c r="AU78" s="833" t="s">
        <v>452</v>
      </c>
      <c r="AV78" s="832"/>
      <c r="AW78" s="839">
        <v>1.8191663065296186</v>
      </c>
      <c r="AX78" s="833">
        <v>0</v>
      </c>
      <c r="AY78" s="837"/>
      <c r="AZ78" s="833">
        <v>1.8191663065296186</v>
      </c>
      <c r="BA78" s="833" t="s">
        <v>452</v>
      </c>
    </row>
    <row r="79" spans="1:53">
      <c r="A79" s="764" t="s">
        <v>42</v>
      </c>
      <c r="B79" s="764" t="s">
        <v>42</v>
      </c>
      <c r="C79" s="896" t="str">
        <f>IF(ISNUMBER(INDEX('Database.Jan 12 to SEC'!$G$6:$G$191, MATCH($A79&amp;"USD bn", 'Database.Jan 12 to SEC'!$AD$6:$AD$191, 0))), INDEX('Database.Jan 12 to SEC'!$G$6:$G$191, MATCH($A79&amp;"USD bn", 'Database.Jan 12 to SEC'!$AD$6:$AD$191, 0)), "")</f>
        <v/>
      </c>
      <c r="D79" s="881" t="str">
        <f>IF(ISNUMBER(INDEX('Database.Jan 12 to SEC'!$H$6:$H$191, MATCH($A79&amp;"USD bn", 'Database.Jan 12 to SEC'!$AD$6:$AD$191, 0))), INDEX('Database.Jan 12 to SEC'!$H$6:$H$191, MATCH($A79&amp;"USD bn", 'Database.Jan 12 to SEC'!$AD$6:$AD$191, 0)), "")</f>
        <v/>
      </c>
      <c r="E79" s="881" t="str">
        <f>IF(ISNUMBER(INDEX('Database.Jan 12 to SEC'!$J$6:$J$191, MATCH($A79&amp;"USD bn", 'Database.Jan 12 to SEC'!$AD$6:$AD$191, 0))), INDEX('Database.Jan 12 to SEC'!$J$6:$J$191, MATCH($A79&amp;"USD bn", 'Database.Jan 12 to SEC'!$AD$6:$AD$191, 0)), "")</f>
        <v/>
      </c>
      <c r="F79" s="881" t="str">
        <f>IF(ISNUMBER(INDEX('Database.Jan 12 to SEC'!$L$6:$L$191, MATCH($A79&amp;"USD bn", 'Database.Jan 12 to SEC'!$AD$6:$AD$191, 0))), INDEX('Database.Jan 12 to SEC'!$L$6:$L$191, MATCH($A79&amp;"USD bn", 'Database.Jan 12 to SEC'!$AD$6:$AD$191, 0)), "")</f>
        <v/>
      </c>
      <c r="G79" s="883"/>
      <c r="H79" s="882" t="str">
        <f>IF(ISNUMBER(INDEX('Database.Jan 12 to SEC'!$P$6:$P$191, MATCH($A79&amp;"USD bn", 'Database.Jan 12 to SEC'!$AD$6:$AD$191, 0))), INDEX('Database.Jan 12 to SEC'!$P$6:$P$191, MATCH($A79&amp;"USD bn", 'Database.Jan 12 to SEC'!$AD$6:$AD$191, 0)), "")</f>
        <v/>
      </c>
      <c r="I79" s="881" t="str">
        <f>IF(ISNUMBER(INDEX('Database.Jan 12 to SEC'!$Q$6:$Q$191, MATCH($A79&amp;"USD bn", 'Database.Jan 12 to SEC'!$AD$6:$AD$191, 0))), INDEX('Database.Jan 12 to SEC'!$Q$6:$Q$191, MATCH($A79&amp;"USD bn", 'Database.Jan 12 to SEC'!$AD$6:$AD$191, 0)), "")</f>
        <v/>
      </c>
      <c r="J79" s="884"/>
      <c r="K79" s="881" t="str">
        <f>IF(ISNUMBER(INDEX('Database.Jan 12 to SEC'!$U$6:$U$191, MATCH($A79&amp;"USD bn", 'Database.Jan 12 to SEC'!$AD$6:$AD$191, 0))), INDEX('Database.Jan 12 to SEC'!$U$6:$U$191, MATCH($A79&amp;"USD bn", 'Database.Jan 12 to SEC'!$AD$6:$AD$191, 0)), "")</f>
        <v/>
      </c>
      <c r="L79" s="881" t="str">
        <f>IF(ISNUMBER(INDEX('Database.Jan 12 to SEC'!$W$6:$W$191, MATCH($A79&amp;"USD bn", 'Database.Jan 12 to SEC'!$AD$6:$AD$191, 0))), INDEX('Database.Jan 12 to SEC'!$W$6:$W$191, MATCH($A79&amp;"USD bn", 'Database.Jan 12 to SEC'!$AD$6:$AD$191, 0)), "")</f>
        <v/>
      </c>
      <c r="M79" s="885"/>
      <c r="N79" s="885"/>
      <c r="O79" s="882" t="str">
        <f>IF(ISNUMBER(INDEX('Database.Jan 12 to SEC'!$G$6:$G$191, MATCH($A79&amp;"% GDP", 'Database.Jan 12 to SEC'!$AD$6:$AD$191, 0))), INDEX('Database.Jan 12 to SEC'!$G$6:$G$191, MATCH($A79&amp;"% GDP", 'Database.Jan 12 to SEC'!$AD$6:$AD$191, 0)), "")</f>
        <v/>
      </c>
      <c r="P79" s="881" t="str">
        <f>IF(ISNUMBER(INDEX('Database.Jan 12 to SEC'!$H$6:$H$191, MATCH($A79&amp;"% GDP", 'Database.Jan 12 to SEC'!$AD$6:$AD$191, 0))), INDEX('Database.Jan 12 to SEC'!$H$6:$H$191, MATCH($A79&amp;"% GDP", 'Database.Jan 12 to SEC'!$AD$6:$AD$191, 0)), "")</f>
        <v/>
      </c>
      <c r="Q79" s="881" t="str">
        <f>IF(ISNUMBER(INDEX('Database.Jan 12 to SEC'!$J$6:$J$191, MATCH($A79&amp;"% GDP", 'Database.Jan 12 to SEC'!$AD$6:$AD$191, 0))), INDEX('Database.Jan 12 to SEC'!$J$6:$J$191, MATCH($A79&amp;"% GDP", 'Database.Jan 12 to SEC'!$AD$6:$AD$191, 0)), "")</f>
        <v/>
      </c>
      <c r="R79" s="881" t="str">
        <f>IF(ISNUMBER(INDEX('Database.Jan 12 to SEC'!$L$6:$L$191, MATCH($A79&amp;"% GDP", 'Database.Jan 12 to SEC'!$AD$6:$AD$191, 0))), INDEX('Database.Jan 12 to SEC'!$L$6:$L$191, MATCH($A79&amp;"% GDP", 'Database.Jan 12 to SEC'!$AD$6:$AD$191, 0)), "")</f>
        <v/>
      </c>
      <c r="S79" s="883"/>
      <c r="T79" s="882" t="str">
        <f>IF(ISNUMBER(INDEX('Database.Jan 12 to SEC'!$P$6:$P$191, MATCH($A79&amp;"% GDP", 'Database.Jan 12 to SEC'!$AD$6:$AD$191, 0))), INDEX('Database.Jan 12 to SEC'!$P$6:$P$191, MATCH($A79&amp;"% GDP", 'Database.Jan 12 to SEC'!$AD$6:$AD$191, 0)), "")</f>
        <v/>
      </c>
      <c r="U79" s="881" t="str">
        <f>IF(ISNUMBER(INDEX('Database.Jan 12 to SEC'!$Q$6:$Q$191, MATCH($A79&amp;"% GDP", 'Database.Jan 12 to SEC'!$AD$6:$AD$191, 0))), INDEX('Database.Jan 12 to SEC'!$Q$6:$Q$191, MATCH($A79&amp;"% GDP", 'Database.Jan 12 to SEC'!$AD$6:$AD$191, 0)), "")</f>
        <v/>
      </c>
      <c r="V79" s="884"/>
      <c r="W79" s="881" t="str">
        <f>IF(ISNUMBER(INDEX('Database.Jan 12 to SEC'!$U$6:$U$191, MATCH($A79&amp;"% GDP", 'Database.Jan 12 to SEC'!$AD$6:$AD$191, 0))), INDEX('Database.Jan 12 to SEC'!$U$6:$U$191, MATCH($A79&amp;"% GDP", 'Database.Jan 12 to SEC'!$AD$6:$AD$191, 0)), "")</f>
        <v/>
      </c>
      <c r="X79" s="881" t="str">
        <f>IF(ISNUMBER(INDEX('Database.Jan 12 to SEC'!$W$6:$W$191, MATCH($A79&amp;"% GDP", 'Database.Jan 12 to SEC'!$AD$6:$AD$191, 0))), INDEX('Database.Jan 12 to SEC'!$W$6:$W$191, MATCH($A79&amp;"% GDP", 'Database.Jan 12 to SEC'!$AD$6:$AD$191, 0)), "")</f>
        <v/>
      </c>
      <c r="Z79" s="898"/>
      <c r="AB79" s="479" t="s">
        <v>1278</v>
      </c>
      <c r="AC79" s="562"/>
      <c r="AF79" s="839">
        <v>32.063993334728984</v>
      </c>
      <c r="AG79" s="833">
        <v>1.5165334699489497</v>
      </c>
      <c r="AH79" s="833">
        <v>30.547459864780034</v>
      </c>
      <c r="AI79" s="833">
        <v>4.0446076631681755</v>
      </c>
      <c r="AJ79" s="832"/>
      <c r="AK79" s="839">
        <v>6.3189963380984064</v>
      </c>
      <c r="AL79" s="833">
        <v>3.2859281358385646</v>
      </c>
      <c r="AM79" s="837"/>
      <c r="AN79" s="833" t="s">
        <v>452</v>
      </c>
      <c r="AO79" s="833">
        <v>3.0330682022598419</v>
      </c>
      <c r="AP79" s="834"/>
      <c r="AQ79" s="834"/>
      <c r="AR79" s="839">
        <v>12.682470249573225</v>
      </c>
      <c r="AS79" s="833">
        <v>0.59984389387573989</v>
      </c>
      <c r="AT79" s="833">
        <v>12.082626355697485</v>
      </c>
      <c r="AU79" s="833">
        <v>1.5997887669146695</v>
      </c>
      <c r="AV79" s="832"/>
      <c r="AW79" s="839">
        <v>2.4993918327164151</v>
      </c>
      <c r="AX79" s="833">
        <v>1.2997035456550827</v>
      </c>
      <c r="AY79" s="837"/>
      <c r="AZ79" s="833" t="s">
        <v>452</v>
      </c>
      <c r="BA79" s="833">
        <v>1.1996882870613323</v>
      </c>
    </row>
    <row r="80" spans="1:53">
      <c r="A80" s="764" t="s">
        <v>34</v>
      </c>
      <c r="B80" s="764" t="s">
        <v>34</v>
      </c>
      <c r="C80" s="896" t="str">
        <f>IF(ISNUMBER(INDEX('Database.Jan 12 to SEC'!$G$6:$G$191, MATCH($A80&amp;"USD bn", 'Database.Jan 12 to SEC'!$AD$6:$AD$191, 0))), INDEX('Database.Jan 12 to SEC'!$G$6:$G$191, MATCH($A80&amp;"USD bn", 'Database.Jan 12 to SEC'!$AD$6:$AD$191, 0)), "")</f>
        <v/>
      </c>
      <c r="D80" s="881" t="str">
        <f>IF(ISNUMBER(INDEX('Database.Jan 12 to SEC'!$H$6:$H$191, MATCH($A80&amp;"USD bn", 'Database.Jan 12 to SEC'!$AD$6:$AD$191, 0))), INDEX('Database.Jan 12 to SEC'!$H$6:$H$191, MATCH($A80&amp;"USD bn", 'Database.Jan 12 to SEC'!$AD$6:$AD$191, 0)), "")</f>
        <v/>
      </c>
      <c r="E80" s="881" t="str">
        <f>IF(ISNUMBER(INDEX('Database.Jan 12 to SEC'!$J$6:$J$191, MATCH($A80&amp;"USD bn", 'Database.Jan 12 to SEC'!$AD$6:$AD$191, 0))), INDEX('Database.Jan 12 to SEC'!$J$6:$J$191, MATCH($A80&amp;"USD bn", 'Database.Jan 12 to SEC'!$AD$6:$AD$191, 0)), "")</f>
        <v/>
      </c>
      <c r="F80" s="881" t="str">
        <f>IF(ISNUMBER(INDEX('Database.Jan 12 to SEC'!$L$6:$L$191, MATCH($A80&amp;"USD bn", 'Database.Jan 12 to SEC'!$AD$6:$AD$191, 0))), INDEX('Database.Jan 12 to SEC'!$L$6:$L$191, MATCH($A80&amp;"USD bn", 'Database.Jan 12 to SEC'!$AD$6:$AD$191, 0)), "")</f>
        <v/>
      </c>
      <c r="G80" s="883"/>
      <c r="H80" s="882" t="str">
        <f>IF(ISNUMBER(INDEX('Database.Jan 12 to SEC'!$P$6:$P$191, MATCH($A80&amp;"USD bn", 'Database.Jan 12 to SEC'!$AD$6:$AD$191, 0))), INDEX('Database.Jan 12 to SEC'!$P$6:$P$191, MATCH($A80&amp;"USD bn", 'Database.Jan 12 to SEC'!$AD$6:$AD$191, 0)), "")</f>
        <v/>
      </c>
      <c r="I80" s="881" t="str">
        <f>IF(ISNUMBER(INDEX('Database.Jan 12 to SEC'!$Q$6:$Q$191, MATCH($A80&amp;"USD bn", 'Database.Jan 12 to SEC'!$AD$6:$AD$191, 0))), INDEX('Database.Jan 12 to SEC'!$Q$6:$Q$191, MATCH($A80&amp;"USD bn", 'Database.Jan 12 to SEC'!$AD$6:$AD$191, 0)), "")</f>
        <v/>
      </c>
      <c r="J80" s="884"/>
      <c r="K80" s="881" t="str">
        <f>IF(ISNUMBER(INDEX('Database.Jan 12 to SEC'!$U$6:$U$191, MATCH($A80&amp;"USD bn", 'Database.Jan 12 to SEC'!$AD$6:$AD$191, 0))), INDEX('Database.Jan 12 to SEC'!$U$6:$U$191, MATCH($A80&amp;"USD bn", 'Database.Jan 12 to SEC'!$AD$6:$AD$191, 0)), "")</f>
        <v/>
      </c>
      <c r="L80" s="881" t="str">
        <f>IF(ISNUMBER(INDEX('Database.Jan 12 to SEC'!$W$6:$W$191, MATCH($A80&amp;"USD bn", 'Database.Jan 12 to SEC'!$AD$6:$AD$191, 0))), INDEX('Database.Jan 12 to SEC'!$W$6:$W$191, MATCH($A80&amp;"USD bn", 'Database.Jan 12 to SEC'!$AD$6:$AD$191, 0)), "")</f>
        <v/>
      </c>
      <c r="M80" s="885"/>
      <c r="N80" s="885"/>
      <c r="O80" s="882" t="str">
        <f>IF(ISNUMBER(INDEX('Database.Jan 12 to SEC'!$G$6:$G$191, MATCH($A80&amp;"% GDP", 'Database.Jan 12 to SEC'!$AD$6:$AD$191, 0))), INDEX('Database.Jan 12 to SEC'!$G$6:$G$191, MATCH($A80&amp;"% GDP", 'Database.Jan 12 to SEC'!$AD$6:$AD$191, 0)), "")</f>
        <v/>
      </c>
      <c r="P80" s="881" t="str">
        <f>IF(ISNUMBER(INDEX('Database.Jan 12 to SEC'!$H$6:$H$191, MATCH($A80&amp;"% GDP", 'Database.Jan 12 to SEC'!$AD$6:$AD$191, 0))), INDEX('Database.Jan 12 to SEC'!$H$6:$H$191, MATCH($A80&amp;"% GDP", 'Database.Jan 12 to SEC'!$AD$6:$AD$191, 0)), "")</f>
        <v/>
      </c>
      <c r="Q80" s="881" t="str">
        <f>IF(ISNUMBER(INDEX('Database.Jan 12 to SEC'!$J$6:$J$191, MATCH($A80&amp;"% GDP", 'Database.Jan 12 to SEC'!$AD$6:$AD$191, 0))), INDEX('Database.Jan 12 to SEC'!$J$6:$J$191, MATCH($A80&amp;"% GDP", 'Database.Jan 12 to SEC'!$AD$6:$AD$191, 0)), "")</f>
        <v/>
      </c>
      <c r="R80" s="881" t="str">
        <f>IF(ISNUMBER(INDEX('Database.Jan 12 to SEC'!$L$6:$L$191, MATCH($A80&amp;"% GDP", 'Database.Jan 12 to SEC'!$AD$6:$AD$191, 0))), INDEX('Database.Jan 12 to SEC'!$L$6:$L$191, MATCH($A80&amp;"% GDP", 'Database.Jan 12 to SEC'!$AD$6:$AD$191, 0)), "")</f>
        <v/>
      </c>
      <c r="S80" s="883"/>
      <c r="T80" s="882" t="str">
        <f>IF(ISNUMBER(INDEX('Database.Jan 12 to SEC'!$P$6:$P$191, MATCH($A80&amp;"% GDP", 'Database.Jan 12 to SEC'!$AD$6:$AD$191, 0))), INDEX('Database.Jan 12 to SEC'!$P$6:$P$191, MATCH($A80&amp;"% GDP", 'Database.Jan 12 to SEC'!$AD$6:$AD$191, 0)), "")</f>
        <v/>
      </c>
      <c r="U80" s="881" t="str">
        <f>IF(ISNUMBER(INDEX('Database.Jan 12 to SEC'!$Q$6:$Q$191, MATCH($A80&amp;"% GDP", 'Database.Jan 12 to SEC'!$AD$6:$AD$191, 0))), INDEX('Database.Jan 12 to SEC'!$Q$6:$Q$191, MATCH($A80&amp;"% GDP", 'Database.Jan 12 to SEC'!$AD$6:$AD$191, 0)), "")</f>
        <v/>
      </c>
      <c r="V80" s="884"/>
      <c r="W80" s="881" t="str">
        <f>IF(ISNUMBER(INDEX('Database.Jan 12 to SEC'!$U$6:$U$191, MATCH($A80&amp;"% GDP", 'Database.Jan 12 to SEC'!$AD$6:$AD$191, 0))), INDEX('Database.Jan 12 to SEC'!$U$6:$U$191, MATCH($A80&amp;"% GDP", 'Database.Jan 12 to SEC'!$AD$6:$AD$191, 0)), "")</f>
        <v/>
      </c>
      <c r="X80" s="881" t="str">
        <f>IF(ISNUMBER(INDEX('Database.Jan 12 to SEC'!$W$6:$W$191, MATCH($A80&amp;"% GDP", 'Database.Jan 12 to SEC'!$AD$6:$AD$191, 0))), INDEX('Database.Jan 12 to SEC'!$W$6:$W$191, MATCH($A80&amp;"% GDP", 'Database.Jan 12 to SEC'!$AD$6:$AD$191, 0)), "")</f>
        <v/>
      </c>
      <c r="Z80" s="898"/>
      <c r="AA80" s="479" t="s">
        <v>1267</v>
      </c>
      <c r="AC80" s="562"/>
      <c r="AF80" s="839">
        <v>12.537379304867349</v>
      </c>
      <c r="AG80" s="833">
        <v>3.8751505833461795</v>
      </c>
      <c r="AH80" s="833">
        <v>8.6622287215211689</v>
      </c>
      <c r="AI80" s="833">
        <v>0.4819569618750838</v>
      </c>
      <c r="AJ80" s="832"/>
      <c r="AK80" s="839">
        <v>14.618458635750434</v>
      </c>
      <c r="AL80" s="833">
        <v>7.6937118380227556</v>
      </c>
      <c r="AM80" s="837"/>
      <c r="AN80" s="833">
        <v>6.9247467977276784</v>
      </c>
      <c r="AO80" s="833" t="s">
        <v>452</v>
      </c>
      <c r="AP80" s="834"/>
      <c r="AQ80" s="834"/>
      <c r="AR80" s="839">
        <v>4.6169047873067024</v>
      </c>
      <c r="AS80" s="833">
        <v>1.4270287948327041</v>
      </c>
      <c r="AT80" s="833">
        <v>3.1898759924739983</v>
      </c>
      <c r="AU80" s="833">
        <v>0.17748122238696293</v>
      </c>
      <c r="AV80" s="832"/>
      <c r="AW80" s="839">
        <v>5.3832647172315324</v>
      </c>
      <c r="AX80" s="833">
        <v>2.8332185023177257</v>
      </c>
      <c r="AY80" s="837"/>
      <c r="AZ80" s="833">
        <v>2.5500462149138068</v>
      </c>
      <c r="BA80" s="833" t="s">
        <v>452</v>
      </c>
    </row>
    <row r="81" spans="1:53">
      <c r="A81" s="764" t="s">
        <v>1043</v>
      </c>
      <c r="B81" s="764" t="s">
        <v>1043</v>
      </c>
      <c r="C81" s="896">
        <v>1</v>
      </c>
      <c r="D81" s="881">
        <v>0.2</v>
      </c>
      <c r="E81" s="881">
        <v>0.8</v>
      </c>
      <c r="F81" s="881">
        <v>0</v>
      </c>
      <c r="G81" s="883"/>
      <c r="H81" s="882" t="s">
        <v>452</v>
      </c>
      <c r="I81" s="881" t="s">
        <v>452</v>
      </c>
      <c r="J81" s="884"/>
      <c r="K81" s="881" t="s">
        <v>452</v>
      </c>
      <c r="L81" s="881" t="s">
        <v>452</v>
      </c>
      <c r="M81" s="885"/>
      <c r="N81" s="885"/>
      <c r="O81" s="882">
        <v>1.6</v>
      </c>
      <c r="P81" s="881">
        <v>0.3</v>
      </c>
      <c r="Q81" s="881">
        <v>1.3</v>
      </c>
      <c r="R81" s="881">
        <v>0</v>
      </c>
      <c r="S81" s="883"/>
      <c r="T81" s="882" t="s">
        <v>452</v>
      </c>
      <c r="U81" s="881" t="s">
        <v>452</v>
      </c>
      <c r="V81" s="884"/>
      <c r="W81" s="881" t="s">
        <v>452</v>
      </c>
      <c r="X81" s="881" t="s">
        <v>452</v>
      </c>
      <c r="Z81" s="898"/>
      <c r="AA81" s="479" t="s">
        <v>1267</v>
      </c>
      <c r="AC81" s="717"/>
      <c r="AF81" s="839">
        <v>1</v>
      </c>
      <c r="AG81" s="833">
        <v>0.2</v>
      </c>
      <c r="AH81" s="833">
        <v>0.8</v>
      </c>
      <c r="AI81" s="833">
        <v>0</v>
      </c>
      <c r="AJ81" s="832"/>
      <c r="AK81" s="839" t="s">
        <v>452</v>
      </c>
      <c r="AL81" s="833" t="s">
        <v>452</v>
      </c>
      <c r="AM81" s="837"/>
      <c r="AN81" s="833" t="s">
        <v>452</v>
      </c>
      <c r="AO81" s="833" t="s">
        <v>452</v>
      </c>
      <c r="AP81" s="834"/>
      <c r="AQ81" s="834"/>
      <c r="AR81" s="839">
        <v>1.6</v>
      </c>
      <c r="AS81" s="833">
        <v>0.3</v>
      </c>
      <c r="AT81" s="833">
        <v>1.3</v>
      </c>
      <c r="AU81" s="833">
        <v>0</v>
      </c>
      <c r="AV81" s="832"/>
      <c r="AW81" s="839" t="s">
        <v>452</v>
      </c>
      <c r="AX81" s="833" t="s">
        <v>452</v>
      </c>
      <c r="AY81" s="837"/>
      <c r="AZ81" s="833" t="s">
        <v>452</v>
      </c>
      <c r="BA81" s="833" t="s">
        <v>452</v>
      </c>
    </row>
    <row r="82" spans="1:53">
      <c r="A82" s="764" t="s">
        <v>1044</v>
      </c>
      <c r="B82" s="764" t="s">
        <v>1044</v>
      </c>
      <c r="C82" s="896">
        <v>2.5869150931678755</v>
      </c>
      <c r="D82" s="881">
        <v>0.27214770120994602</v>
      </c>
      <c r="E82" s="881">
        <v>2.3147673919579295</v>
      </c>
      <c r="F82" s="881">
        <v>0.63501130282320739</v>
      </c>
      <c r="G82" s="883"/>
      <c r="H82" s="882">
        <v>2.0259884423407093</v>
      </c>
      <c r="I82" s="881">
        <v>0.93739763750092508</v>
      </c>
      <c r="J82" s="884"/>
      <c r="K82" s="881">
        <v>1.0885908048397841</v>
      </c>
      <c r="L82" s="881" t="s">
        <v>452</v>
      </c>
      <c r="M82" s="885"/>
      <c r="N82" s="885"/>
      <c r="O82" s="882">
        <v>4.6054544084238627</v>
      </c>
      <c r="P82" s="881">
        <v>0.48450134045370857</v>
      </c>
      <c r="Q82" s="881">
        <v>4.120953067970154</v>
      </c>
      <c r="R82" s="881">
        <v>1.1305031277253199</v>
      </c>
      <c r="S82" s="883"/>
      <c r="T82" s="882">
        <v>3.6068433122664976</v>
      </c>
      <c r="U82" s="881">
        <v>1.6688379504516631</v>
      </c>
      <c r="V82" s="884"/>
      <c r="W82" s="881">
        <v>1.9380053618148343</v>
      </c>
      <c r="X82" s="881" t="s">
        <v>452</v>
      </c>
      <c r="Z82" s="898"/>
      <c r="AA82" s="479" t="s">
        <v>1267</v>
      </c>
      <c r="AC82" s="717"/>
      <c r="AF82" s="839">
        <v>2.5869150931678755</v>
      </c>
      <c r="AG82" s="833">
        <v>0.27214770120994602</v>
      </c>
      <c r="AH82" s="833">
        <v>2.3147673919579295</v>
      </c>
      <c r="AI82" s="833">
        <v>0.63501130282320739</v>
      </c>
      <c r="AJ82" s="832"/>
      <c r="AK82" s="839">
        <v>2.0259884423407093</v>
      </c>
      <c r="AL82" s="833">
        <v>0.93739763750092508</v>
      </c>
      <c r="AM82" s="837"/>
      <c r="AN82" s="833">
        <v>1.0885908048397841</v>
      </c>
      <c r="AO82" s="833" t="s">
        <v>452</v>
      </c>
      <c r="AP82" s="834"/>
      <c r="AQ82" s="834"/>
      <c r="AR82" s="839">
        <v>4.6054544084238627</v>
      </c>
      <c r="AS82" s="833">
        <v>0.48450134045370857</v>
      </c>
      <c r="AT82" s="833">
        <v>4.120953067970154</v>
      </c>
      <c r="AU82" s="833">
        <v>1.1305031277253199</v>
      </c>
      <c r="AV82" s="832"/>
      <c r="AW82" s="839">
        <v>3.6068433122664976</v>
      </c>
      <c r="AX82" s="833">
        <v>1.6688379504516631</v>
      </c>
      <c r="AY82" s="837"/>
      <c r="AZ82" s="833">
        <v>1.9380053618148343</v>
      </c>
      <c r="BA82" s="833" t="s">
        <v>452</v>
      </c>
    </row>
    <row r="83" spans="1:53" s="389" customFormat="1">
      <c r="A83" s="887" t="s">
        <v>1045</v>
      </c>
      <c r="B83" s="887" t="s">
        <v>1045</v>
      </c>
      <c r="C83" s="896">
        <v>9.7943366666666653E-3</v>
      </c>
      <c r="D83" s="881">
        <v>1.6323894444444441E-3</v>
      </c>
      <c r="E83" s="881">
        <v>8.1619472222222208E-3</v>
      </c>
      <c r="F83" s="881" t="s">
        <v>452</v>
      </c>
      <c r="G83" s="883"/>
      <c r="H83" s="882">
        <v>3.7037037037037034E-3</v>
      </c>
      <c r="I83" s="881">
        <v>3.7037037037037034E-3</v>
      </c>
      <c r="J83" s="884"/>
      <c r="K83" s="881" t="s">
        <v>452</v>
      </c>
      <c r="L83" s="881" t="s">
        <v>452</v>
      </c>
      <c r="M83" s="885"/>
      <c r="N83" s="885"/>
      <c r="O83" s="882">
        <v>1.8</v>
      </c>
      <c r="P83" s="881">
        <v>0.3</v>
      </c>
      <c r="Q83" s="881">
        <v>1.5</v>
      </c>
      <c r="R83" s="881" t="s">
        <v>452</v>
      </c>
      <c r="S83" s="883"/>
      <c r="T83" s="882">
        <v>0.68066545939303025</v>
      </c>
      <c r="U83" s="881">
        <v>0.68066545939303025</v>
      </c>
      <c r="V83" s="884"/>
      <c r="W83" s="881" t="s">
        <v>452</v>
      </c>
      <c r="X83" s="881" t="s">
        <v>452</v>
      </c>
      <c r="Z83" s="898"/>
      <c r="AA83" s="389" t="s">
        <v>1294</v>
      </c>
      <c r="AB83" s="870" t="s">
        <v>1277</v>
      </c>
      <c r="AC83" s="887"/>
      <c r="AF83" s="839">
        <v>9.7943366666666653E-3</v>
      </c>
      <c r="AG83" s="833">
        <v>1.6323894444444441E-3</v>
      </c>
      <c r="AH83" s="833">
        <v>8.1619472222222208E-3</v>
      </c>
      <c r="AI83" s="833" t="s">
        <v>452</v>
      </c>
      <c r="AJ83" s="832"/>
      <c r="AK83" s="839">
        <v>3.7037037037037034E-3</v>
      </c>
      <c r="AL83" s="833">
        <v>3.7037037037037034E-3</v>
      </c>
      <c r="AM83" s="837"/>
      <c r="AN83" s="833" t="s">
        <v>452</v>
      </c>
      <c r="AO83" s="833" t="s">
        <v>452</v>
      </c>
      <c r="AP83" s="834"/>
      <c r="AQ83" s="834"/>
      <c r="AR83" s="839">
        <v>1.8</v>
      </c>
      <c r="AS83" s="833">
        <v>0.3</v>
      </c>
      <c r="AT83" s="833">
        <v>1.5</v>
      </c>
      <c r="AU83" s="833" t="s">
        <v>452</v>
      </c>
      <c r="AV83" s="832"/>
      <c r="AW83" s="839">
        <v>0.68066545939303025</v>
      </c>
      <c r="AX83" s="833">
        <v>0.68066545939303025</v>
      </c>
      <c r="AY83" s="837"/>
      <c r="AZ83" s="833" t="s">
        <v>452</v>
      </c>
      <c r="BA83" s="833" t="s">
        <v>452</v>
      </c>
    </row>
    <row r="84" spans="1:53">
      <c r="A84" s="764" t="s">
        <v>1046</v>
      </c>
      <c r="B84" s="764" t="s">
        <v>1046</v>
      </c>
      <c r="C84" s="896">
        <v>2.6044534240929136</v>
      </c>
      <c r="D84" s="881">
        <v>0.2367684930993558</v>
      </c>
      <c r="E84" s="881">
        <v>2.3676849309935579</v>
      </c>
      <c r="F84" s="881" t="s">
        <v>452</v>
      </c>
      <c r="G84" s="883"/>
      <c r="H84" s="882" t="s">
        <v>452</v>
      </c>
      <c r="I84" s="881" t="s">
        <v>452</v>
      </c>
      <c r="J84" s="884"/>
      <c r="K84" s="881" t="s">
        <v>452</v>
      </c>
      <c r="L84" s="881" t="s">
        <v>452</v>
      </c>
      <c r="M84" s="885"/>
      <c r="N84" s="885"/>
      <c r="O84" s="882">
        <v>3.3</v>
      </c>
      <c r="P84" s="881">
        <v>0.3</v>
      </c>
      <c r="Q84" s="881">
        <v>3</v>
      </c>
      <c r="R84" s="881" t="s">
        <v>452</v>
      </c>
      <c r="S84" s="883"/>
      <c r="T84" s="882" t="s">
        <v>452</v>
      </c>
      <c r="U84" s="881" t="s">
        <v>452</v>
      </c>
      <c r="V84" s="884"/>
      <c r="W84" s="881" t="s">
        <v>452</v>
      </c>
      <c r="X84" s="881" t="s">
        <v>452</v>
      </c>
      <c r="Z84" s="898"/>
      <c r="AA84" s="479" t="s">
        <v>1267</v>
      </c>
      <c r="AC84" s="717"/>
      <c r="AF84" s="839">
        <v>2.6044534240929136</v>
      </c>
      <c r="AG84" s="833">
        <v>0.2367684930993558</v>
      </c>
      <c r="AH84" s="833">
        <v>2.3676849309935579</v>
      </c>
      <c r="AI84" s="833" t="s">
        <v>452</v>
      </c>
      <c r="AJ84" s="832"/>
      <c r="AK84" s="839" t="s">
        <v>452</v>
      </c>
      <c r="AL84" s="833" t="s">
        <v>452</v>
      </c>
      <c r="AM84" s="837"/>
      <c r="AN84" s="833" t="s">
        <v>452</v>
      </c>
      <c r="AO84" s="833" t="s">
        <v>452</v>
      </c>
      <c r="AP84" s="834"/>
      <c r="AQ84" s="834"/>
      <c r="AR84" s="839">
        <v>3.3</v>
      </c>
      <c r="AS84" s="833">
        <v>0.3</v>
      </c>
      <c r="AT84" s="833">
        <v>3</v>
      </c>
      <c r="AU84" s="833" t="s">
        <v>452</v>
      </c>
      <c r="AV84" s="832"/>
      <c r="AW84" s="839" t="s">
        <v>452</v>
      </c>
      <c r="AX84" s="833" t="s">
        <v>452</v>
      </c>
      <c r="AY84" s="837"/>
      <c r="AZ84" s="833" t="s">
        <v>452</v>
      </c>
      <c r="BA84" s="833" t="s">
        <v>452</v>
      </c>
    </row>
    <row r="85" spans="1:53">
      <c r="A85" s="764" t="s">
        <v>1047</v>
      </c>
      <c r="B85" s="764" t="s">
        <v>1047</v>
      </c>
      <c r="C85" s="896">
        <v>0.68850767749000008</v>
      </c>
      <c r="D85" s="881">
        <v>0.28184314389999998</v>
      </c>
      <c r="E85" s="881">
        <v>0.4066645335900001</v>
      </c>
      <c r="F85" s="881" t="s">
        <v>452</v>
      </c>
      <c r="G85" s="883"/>
      <c r="H85" s="882" t="s">
        <v>452</v>
      </c>
      <c r="I85" s="881" t="s">
        <v>452</v>
      </c>
      <c r="J85" s="884"/>
      <c r="K85" s="881" t="s">
        <v>452</v>
      </c>
      <c r="L85" s="881" t="s">
        <v>452</v>
      </c>
      <c r="M85" s="885"/>
      <c r="N85" s="885"/>
      <c r="O85" s="882">
        <v>0.71226118727146415</v>
      </c>
      <c r="P85" s="881">
        <v>0.29156673028014524</v>
      </c>
      <c r="Q85" s="881">
        <v>0.42069445699131891</v>
      </c>
      <c r="R85" s="881" t="s">
        <v>452</v>
      </c>
      <c r="S85" s="883"/>
      <c r="T85" s="882" t="s">
        <v>452</v>
      </c>
      <c r="U85" s="881" t="s">
        <v>452</v>
      </c>
      <c r="V85" s="884"/>
      <c r="W85" s="881" t="s">
        <v>452</v>
      </c>
      <c r="X85" s="881" t="s">
        <v>452</v>
      </c>
      <c r="Z85" s="898"/>
      <c r="AA85" s="479" t="s">
        <v>1267</v>
      </c>
      <c r="AC85" s="717"/>
      <c r="AF85" s="839">
        <v>0.68850767749000008</v>
      </c>
      <c r="AG85" s="833">
        <v>0.28184314389999998</v>
      </c>
      <c r="AH85" s="833">
        <v>0.4066645335900001</v>
      </c>
      <c r="AI85" s="833" t="s">
        <v>452</v>
      </c>
      <c r="AJ85" s="832"/>
      <c r="AK85" s="839" t="s">
        <v>452</v>
      </c>
      <c r="AL85" s="833" t="s">
        <v>452</v>
      </c>
      <c r="AM85" s="837"/>
      <c r="AN85" s="833" t="s">
        <v>452</v>
      </c>
      <c r="AO85" s="833" t="s">
        <v>452</v>
      </c>
      <c r="AP85" s="834"/>
      <c r="AQ85" s="834"/>
      <c r="AR85" s="839">
        <v>0.71226118727146415</v>
      </c>
      <c r="AS85" s="833">
        <v>0.29156673028014524</v>
      </c>
      <c r="AT85" s="833">
        <v>0.42069445699131891</v>
      </c>
      <c r="AU85" s="833" t="s">
        <v>452</v>
      </c>
      <c r="AV85" s="832"/>
      <c r="AW85" s="839" t="s">
        <v>452</v>
      </c>
      <c r="AX85" s="833" t="s">
        <v>452</v>
      </c>
      <c r="AY85" s="837"/>
      <c r="AZ85" s="833" t="s">
        <v>452</v>
      </c>
      <c r="BA85" s="833" t="s">
        <v>452</v>
      </c>
    </row>
    <row r="86" spans="1:53">
      <c r="A86" s="764" t="s">
        <v>23</v>
      </c>
      <c r="B86" s="764" t="s">
        <v>23</v>
      </c>
      <c r="C86" s="896" t="str">
        <f>IF(ISNUMBER(INDEX('Database.Jan 12 to SEC'!$G$6:$G$191, MATCH($A86&amp;"USD bn", 'Database.Jan 12 to SEC'!$AD$6:$AD$191, 0))), INDEX('Database.Jan 12 to SEC'!$G$6:$G$191, MATCH($A86&amp;"USD bn", 'Database.Jan 12 to SEC'!$AD$6:$AD$191, 0)), "")</f>
        <v/>
      </c>
      <c r="D86" s="881" t="str">
        <f>IF(ISNUMBER(INDEX('Database.Jan 12 to SEC'!$H$6:$H$191, MATCH($A86&amp;"USD bn", 'Database.Jan 12 to SEC'!$AD$6:$AD$191, 0))), INDEX('Database.Jan 12 to SEC'!$H$6:$H$191, MATCH($A86&amp;"USD bn", 'Database.Jan 12 to SEC'!$AD$6:$AD$191, 0)), "")</f>
        <v/>
      </c>
      <c r="E86" s="881" t="str">
        <f>IF(ISNUMBER(INDEX('Database.Jan 12 to SEC'!$J$6:$J$191, MATCH($A86&amp;"USD bn", 'Database.Jan 12 to SEC'!$AD$6:$AD$191, 0))), INDEX('Database.Jan 12 to SEC'!$J$6:$J$191, MATCH($A86&amp;"USD bn", 'Database.Jan 12 to SEC'!$AD$6:$AD$191, 0)), "")</f>
        <v/>
      </c>
      <c r="F86" s="881" t="str">
        <f>IF(ISNUMBER(INDEX('Database.Jan 12 to SEC'!$L$6:$L$191, MATCH($A86&amp;"USD bn", 'Database.Jan 12 to SEC'!$AD$6:$AD$191, 0))), INDEX('Database.Jan 12 to SEC'!$L$6:$L$191, MATCH($A86&amp;"USD bn", 'Database.Jan 12 to SEC'!$AD$6:$AD$191, 0)), "")</f>
        <v/>
      </c>
      <c r="G86" s="883"/>
      <c r="H86" s="882" t="str">
        <f>IF(ISNUMBER(INDEX('Database.Jan 12 to SEC'!$P$6:$P$191, MATCH($A86&amp;"USD bn", 'Database.Jan 12 to SEC'!$AD$6:$AD$191, 0))), INDEX('Database.Jan 12 to SEC'!$P$6:$P$191, MATCH($A86&amp;"USD bn", 'Database.Jan 12 to SEC'!$AD$6:$AD$191, 0)), "")</f>
        <v/>
      </c>
      <c r="I86" s="881" t="str">
        <f>IF(ISNUMBER(INDEX('Database.Jan 12 to SEC'!$Q$6:$Q$191, MATCH($A86&amp;"USD bn", 'Database.Jan 12 to SEC'!$AD$6:$AD$191, 0))), INDEX('Database.Jan 12 to SEC'!$Q$6:$Q$191, MATCH($A86&amp;"USD bn", 'Database.Jan 12 to SEC'!$AD$6:$AD$191, 0)), "")</f>
        <v/>
      </c>
      <c r="J86" s="884"/>
      <c r="K86" s="881" t="str">
        <f>IF(ISNUMBER(INDEX('Database.Jan 12 to SEC'!$U$6:$U$191, MATCH($A86&amp;"USD bn", 'Database.Jan 12 to SEC'!$AD$6:$AD$191, 0))), INDEX('Database.Jan 12 to SEC'!$U$6:$U$191, MATCH($A86&amp;"USD bn", 'Database.Jan 12 to SEC'!$AD$6:$AD$191, 0)), "")</f>
        <v/>
      </c>
      <c r="L86" s="881" t="str">
        <f>IF(ISNUMBER(INDEX('Database.Jan 12 to SEC'!$W$6:$W$191, MATCH($A86&amp;"USD bn", 'Database.Jan 12 to SEC'!$AD$6:$AD$191, 0))), INDEX('Database.Jan 12 to SEC'!$W$6:$W$191, MATCH($A86&amp;"USD bn", 'Database.Jan 12 to SEC'!$AD$6:$AD$191, 0)), "")</f>
        <v/>
      </c>
      <c r="M86" s="885"/>
      <c r="N86" s="885"/>
      <c r="O86" s="882" t="str">
        <f>IF(ISNUMBER(INDEX('Database.Jan 12 to SEC'!$G$6:$G$191, MATCH($A86&amp;"% GDP", 'Database.Jan 12 to SEC'!$AD$6:$AD$191, 0))), INDEX('Database.Jan 12 to SEC'!$G$6:$G$191, MATCH($A86&amp;"% GDP", 'Database.Jan 12 to SEC'!$AD$6:$AD$191, 0)), "")</f>
        <v/>
      </c>
      <c r="P86" s="881" t="str">
        <f>IF(ISNUMBER(INDEX('Database.Jan 12 to SEC'!$H$6:$H$191, MATCH($A86&amp;"% GDP", 'Database.Jan 12 to SEC'!$AD$6:$AD$191, 0))), INDEX('Database.Jan 12 to SEC'!$H$6:$H$191, MATCH($A86&amp;"% GDP", 'Database.Jan 12 to SEC'!$AD$6:$AD$191, 0)), "")</f>
        <v/>
      </c>
      <c r="Q86" s="881" t="str">
        <f>IF(ISNUMBER(INDEX('Database.Jan 12 to SEC'!$J$6:$J$191, MATCH($A86&amp;"% GDP", 'Database.Jan 12 to SEC'!$AD$6:$AD$191, 0))), INDEX('Database.Jan 12 to SEC'!$J$6:$J$191, MATCH($A86&amp;"% GDP", 'Database.Jan 12 to SEC'!$AD$6:$AD$191, 0)), "")</f>
        <v/>
      </c>
      <c r="R86" s="881" t="str">
        <f>IF(ISNUMBER(INDEX('Database.Jan 12 to SEC'!$L$6:$L$191, MATCH($A86&amp;"% GDP", 'Database.Jan 12 to SEC'!$AD$6:$AD$191, 0))), INDEX('Database.Jan 12 to SEC'!$L$6:$L$191, MATCH($A86&amp;"% GDP", 'Database.Jan 12 to SEC'!$AD$6:$AD$191, 0)), "")</f>
        <v/>
      </c>
      <c r="S86" s="883"/>
      <c r="T86" s="882" t="str">
        <f>IF(ISNUMBER(INDEX('Database.Jan 12 to SEC'!$P$6:$P$191, MATCH($A86&amp;"% GDP", 'Database.Jan 12 to SEC'!$AD$6:$AD$191, 0))), INDEX('Database.Jan 12 to SEC'!$P$6:$P$191, MATCH($A86&amp;"% GDP", 'Database.Jan 12 to SEC'!$AD$6:$AD$191, 0)), "")</f>
        <v/>
      </c>
      <c r="U86" s="881" t="str">
        <f>IF(ISNUMBER(INDEX('Database.Jan 12 to SEC'!$Q$6:$Q$191, MATCH($A86&amp;"% GDP", 'Database.Jan 12 to SEC'!$AD$6:$AD$191, 0))), INDEX('Database.Jan 12 to SEC'!$Q$6:$Q$191, MATCH($A86&amp;"% GDP", 'Database.Jan 12 to SEC'!$AD$6:$AD$191, 0)), "")</f>
        <v/>
      </c>
      <c r="V86" s="884"/>
      <c r="W86" s="881" t="str">
        <f>IF(ISNUMBER(INDEX('Database.Jan 12 to SEC'!$U$6:$U$191, MATCH($A86&amp;"% GDP", 'Database.Jan 12 to SEC'!$AD$6:$AD$191, 0))), INDEX('Database.Jan 12 to SEC'!$U$6:$U$191, MATCH($A86&amp;"% GDP", 'Database.Jan 12 to SEC'!$AD$6:$AD$191, 0)), "")</f>
        <v/>
      </c>
      <c r="X86" s="881" t="str">
        <f>IF(ISNUMBER(INDEX('Database.Jan 12 to SEC'!$W$6:$W$191, MATCH($A86&amp;"% GDP", 'Database.Jan 12 to SEC'!$AD$6:$AD$191, 0))), INDEX('Database.Jan 12 to SEC'!$W$6:$W$191, MATCH($A86&amp;"% GDP", 'Database.Jan 12 to SEC'!$AD$6:$AD$191, 0)), "")</f>
        <v/>
      </c>
      <c r="Z86" s="898"/>
      <c r="AB86" s="514" t="s">
        <v>1293</v>
      </c>
      <c r="AC86" s="562"/>
      <c r="AF86" s="839">
        <v>5.6957877830164128</v>
      </c>
      <c r="AG86" s="833">
        <v>0.80458007357131589</v>
      </c>
      <c r="AH86" s="833">
        <v>4.891207709445097</v>
      </c>
      <c r="AI86" s="833" t="s">
        <v>452</v>
      </c>
      <c r="AJ86" s="832"/>
      <c r="AK86" s="839">
        <v>0.46256670638826908</v>
      </c>
      <c r="AL86" s="833">
        <v>0.46256670638826908</v>
      </c>
      <c r="AM86" s="837"/>
      <c r="AN86" s="833" t="s">
        <v>452</v>
      </c>
      <c r="AO86" s="833" t="s">
        <v>452</v>
      </c>
      <c r="AP86" s="834"/>
      <c r="AQ86" s="834"/>
      <c r="AR86" s="839">
        <v>1.5680273855370135</v>
      </c>
      <c r="AS86" s="833">
        <v>0.22149764655541296</v>
      </c>
      <c r="AT86" s="833">
        <v>1.3465297389816004</v>
      </c>
      <c r="AU86" s="833" t="s">
        <v>452</v>
      </c>
      <c r="AV86" s="832"/>
      <c r="AW86" s="839">
        <v>0.12734274711168164</v>
      </c>
      <c r="AX86" s="833">
        <v>0.12734274711168164</v>
      </c>
      <c r="AY86" s="837"/>
      <c r="AZ86" s="833" t="s">
        <v>452</v>
      </c>
      <c r="BA86" s="833" t="s">
        <v>452</v>
      </c>
    </row>
    <row r="87" spans="1:53">
      <c r="A87" s="764" t="s">
        <v>1048</v>
      </c>
      <c r="B87" s="764" t="s">
        <v>1048</v>
      </c>
      <c r="C87" s="896">
        <v>0.63</v>
      </c>
      <c r="D87" s="881">
        <v>0.12</v>
      </c>
      <c r="E87" s="881">
        <v>0.51</v>
      </c>
      <c r="F87" s="881" t="s">
        <v>452</v>
      </c>
      <c r="G87" s="883"/>
      <c r="H87" s="882">
        <v>0.6</v>
      </c>
      <c r="I87" s="881">
        <v>0.6</v>
      </c>
      <c r="J87" s="884"/>
      <c r="K87" s="881" t="s">
        <v>452</v>
      </c>
      <c r="L87" s="881" t="s">
        <v>452</v>
      </c>
      <c r="M87" s="885"/>
      <c r="N87" s="885"/>
      <c r="O87" s="882">
        <v>2.5569510104421012</v>
      </c>
      <c r="P87" s="881">
        <v>0.4870382877032573</v>
      </c>
      <c r="Q87" s="881">
        <v>2.0699127227388434</v>
      </c>
      <c r="R87" s="881" t="s">
        <v>452</v>
      </c>
      <c r="S87" s="883"/>
      <c r="T87" s="882">
        <v>2.4351914385162865</v>
      </c>
      <c r="U87" s="881">
        <v>2.4351914385162865</v>
      </c>
      <c r="V87" s="884"/>
      <c r="W87" s="881" t="s">
        <v>452</v>
      </c>
      <c r="X87" s="881" t="s">
        <v>452</v>
      </c>
      <c r="Z87" s="898"/>
      <c r="AA87" s="479" t="s">
        <v>1267</v>
      </c>
      <c r="AC87" s="717"/>
      <c r="AF87" s="839">
        <v>0.63</v>
      </c>
      <c r="AG87" s="833">
        <v>0.12</v>
      </c>
      <c r="AH87" s="833">
        <v>0.51</v>
      </c>
      <c r="AI87" s="833" t="s">
        <v>452</v>
      </c>
      <c r="AJ87" s="832"/>
      <c r="AK87" s="839">
        <v>0.6</v>
      </c>
      <c r="AL87" s="833">
        <v>0.6</v>
      </c>
      <c r="AM87" s="837"/>
      <c r="AN87" s="833" t="s">
        <v>452</v>
      </c>
      <c r="AO87" s="833" t="s">
        <v>452</v>
      </c>
      <c r="AP87" s="834"/>
      <c r="AQ87" s="834"/>
      <c r="AR87" s="839">
        <v>2.5569510104421012</v>
      </c>
      <c r="AS87" s="833">
        <v>0.4870382877032573</v>
      </c>
      <c r="AT87" s="833">
        <v>2.0699127227388434</v>
      </c>
      <c r="AU87" s="833" t="s">
        <v>452</v>
      </c>
      <c r="AV87" s="832"/>
      <c r="AW87" s="839">
        <v>2.4351914385162865</v>
      </c>
      <c r="AX87" s="833">
        <v>2.4351914385162865</v>
      </c>
      <c r="AY87" s="837"/>
      <c r="AZ87" s="833" t="s">
        <v>452</v>
      </c>
      <c r="BA87" s="833" t="s">
        <v>452</v>
      </c>
    </row>
    <row r="88" spans="1:53">
      <c r="A88" s="764" t="s">
        <v>1049</v>
      </c>
      <c r="B88" s="764" t="s">
        <v>1049</v>
      </c>
      <c r="C88" s="896">
        <v>8.0556118904301907E-2</v>
      </c>
      <c r="D88" s="881">
        <v>6.0895554247312467E-2</v>
      </c>
      <c r="E88" s="881">
        <v>1.9660564656989447E-2</v>
      </c>
      <c r="F88" s="881">
        <v>3.4797459569892837E-2</v>
      </c>
      <c r="G88" s="883"/>
      <c r="H88" s="882">
        <v>1.7398729784946418E-3</v>
      </c>
      <c r="I88" s="881" t="s">
        <v>452</v>
      </c>
      <c r="J88" s="884"/>
      <c r="K88" s="881">
        <v>1.7398729784946418E-3</v>
      </c>
      <c r="L88" s="881" t="s">
        <v>452</v>
      </c>
      <c r="M88" s="885"/>
      <c r="N88" s="885"/>
      <c r="O88" s="882">
        <v>0.80264328119807848</v>
      </c>
      <c r="P88" s="881">
        <v>0.60674978060329909</v>
      </c>
      <c r="Q88" s="881">
        <v>0.19589350059477936</v>
      </c>
      <c r="R88" s="881">
        <v>0.34671416034474234</v>
      </c>
      <c r="S88" s="883"/>
      <c r="T88" s="882">
        <v>1.7335708017237116E-2</v>
      </c>
      <c r="U88" s="881" t="s">
        <v>452</v>
      </c>
      <c r="V88" s="884"/>
      <c r="W88" s="881">
        <v>1.7335708017237116E-2</v>
      </c>
      <c r="X88" s="881" t="s">
        <v>452</v>
      </c>
      <c r="Z88" s="898"/>
      <c r="AA88" s="479" t="s">
        <v>1267</v>
      </c>
      <c r="AC88" s="717"/>
      <c r="AF88" s="839">
        <v>8.0556118904301907E-2</v>
      </c>
      <c r="AG88" s="833">
        <v>6.0895554247312467E-2</v>
      </c>
      <c r="AH88" s="833">
        <v>1.9660564656989447E-2</v>
      </c>
      <c r="AI88" s="833">
        <v>3.4797459569892837E-2</v>
      </c>
      <c r="AJ88" s="832"/>
      <c r="AK88" s="839">
        <v>1.7398729784946418E-3</v>
      </c>
      <c r="AL88" s="833" t="s">
        <v>452</v>
      </c>
      <c r="AM88" s="837"/>
      <c r="AN88" s="833">
        <v>1.7398729784946418E-3</v>
      </c>
      <c r="AO88" s="833" t="s">
        <v>452</v>
      </c>
      <c r="AP88" s="834"/>
      <c r="AQ88" s="834"/>
      <c r="AR88" s="839">
        <v>0.80264328119807848</v>
      </c>
      <c r="AS88" s="833">
        <v>0.60674978060329909</v>
      </c>
      <c r="AT88" s="833">
        <v>0.19589350059477936</v>
      </c>
      <c r="AU88" s="833">
        <v>0.34671416034474234</v>
      </c>
      <c r="AV88" s="832"/>
      <c r="AW88" s="839">
        <v>1.7335708017237116E-2</v>
      </c>
      <c r="AX88" s="833" t="s">
        <v>452</v>
      </c>
      <c r="AY88" s="837"/>
      <c r="AZ88" s="833">
        <v>1.7335708017237116E-2</v>
      </c>
      <c r="BA88" s="833" t="s">
        <v>452</v>
      </c>
    </row>
    <row r="89" spans="1:53">
      <c r="A89" s="764" t="s">
        <v>1050</v>
      </c>
      <c r="B89" s="764" t="s">
        <v>1050</v>
      </c>
      <c r="C89" s="896">
        <v>0.12815905490289342</v>
      </c>
      <c r="D89" s="881">
        <v>2.7332499860806655E-2</v>
      </c>
      <c r="E89" s="881">
        <v>0.10082655504208676</v>
      </c>
      <c r="F89" s="881" t="s">
        <v>452</v>
      </c>
      <c r="G89" s="883"/>
      <c r="H89" s="882" t="s">
        <v>452</v>
      </c>
      <c r="I89" s="881" t="s">
        <v>452</v>
      </c>
      <c r="J89" s="884"/>
      <c r="K89" s="881" t="s">
        <v>452</v>
      </c>
      <c r="L89" s="881" t="s">
        <v>452</v>
      </c>
      <c r="M89" s="885"/>
      <c r="N89" s="885"/>
      <c r="O89" s="882">
        <v>3.2193473381137108</v>
      </c>
      <c r="P89" s="881">
        <v>0.68659066452662088</v>
      </c>
      <c r="Q89" s="881">
        <v>2.5327566735870897</v>
      </c>
      <c r="R89" s="881" t="s">
        <v>452</v>
      </c>
      <c r="S89" s="883"/>
      <c r="T89" s="882" t="s">
        <v>452</v>
      </c>
      <c r="U89" s="881" t="s">
        <v>452</v>
      </c>
      <c r="V89" s="884"/>
      <c r="W89" s="881" t="s">
        <v>452</v>
      </c>
      <c r="X89" s="881" t="s">
        <v>452</v>
      </c>
      <c r="Z89" s="898"/>
      <c r="AA89" s="479" t="s">
        <v>1267</v>
      </c>
      <c r="AC89" s="717"/>
      <c r="AF89" s="839">
        <v>0.12815905490289342</v>
      </c>
      <c r="AG89" s="833">
        <v>2.7332499860806655E-2</v>
      </c>
      <c r="AH89" s="833">
        <v>0.10082655504208676</v>
      </c>
      <c r="AI89" s="833" t="s">
        <v>452</v>
      </c>
      <c r="AJ89" s="832"/>
      <c r="AK89" s="839" t="s">
        <v>452</v>
      </c>
      <c r="AL89" s="833" t="s">
        <v>452</v>
      </c>
      <c r="AM89" s="837"/>
      <c r="AN89" s="833" t="s">
        <v>452</v>
      </c>
      <c r="AO89" s="833" t="s">
        <v>452</v>
      </c>
      <c r="AP89" s="834"/>
      <c r="AQ89" s="834"/>
      <c r="AR89" s="839">
        <v>3.2193473381137108</v>
      </c>
      <c r="AS89" s="833">
        <v>0.68659066452662088</v>
      </c>
      <c r="AT89" s="833">
        <v>2.5327566735870897</v>
      </c>
      <c r="AU89" s="833" t="s">
        <v>452</v>
      </c>
      <c r="AV89" s="832"/>
      <c r="AW89" s="839" t="s">
        <v>452</v>
      </c>
      <c r="AX89" s="833" t="s">
        <v>452</v>
      </c>
      <c r="AY89" s="837"/>
      <c r="AZ89" s="833" t="s">
        <v>452</v>
      </c>
      <c r="BA89" s="833" t="s">
        <v>452</v>
      </c>
    </row>
    <row r="90" spans="1:53">
      <c r="A90" s="764" t="s">
        <v>1051</v>
      </c>
      <c r="B90" s="764" t="s">
        <v>1051</v>
      </c>
      <c r="C90" s="896">
        <v>0.23976482998316759</v>
      </c>
      <c r="D90" s="881">
        <v>1.844344846024366E-2</v>
      </c>
      <c r="E90" s="881">
        <v>0.22132138152292394</v>
      </c>
      <c r="F90" s="881" t="s">
        <v>452</v>
      </c>
      <c r="G90" s="883"/>
      <c r="H90" s="882">
        <v>1.3832586345182744E-2</v>
      </c>
      <c r="I90" s="881" t="s">
        <v>452</v>
      </c>
      <c r="J90" s="884"/>
      <c r="K90" s="881" t="s">
        <v>452</v>
      </c>
      <c r="L90" s="881" t="s">
        <v>452</v>
      </c>
      <c r="M90" s="885"/>
      <c r="N90" s="885"/>
      <c r="O90" s="882">
        <v>5.3350867880701367</v>
      </c>
      <c r="P90" s="881">
        <v>0.41039129139001052</v>
      </c>
      <c r="Q90" s="881">
        <v>4.9246954966801271</v>
      </c>
      <c r="R90" s="881" t="s">
        <v>452</v>
      </c>
      <c r="S90" s="883"/>
      <c r="T90" s="882">
        <v>0.30779346854250789</v>
      </c>
      <c r="U90" s="881" t="s">
        <v>452</v>
      </c>
      <c r="V90" s="884"/>
      <c r="W90" s="881" t="s">
        <v>452</v>
      </c>
      <c r="X90" s="881" t="s">
        <v>452</v>
      </c>
      <c r="Z90" s="898"/>
      <c r="AA90" s="479" t="s">
        <v>1267</v>
      </c>
      <c r="AC90" s="717"/>
      <c r="AF90" s="839">
        <v>0.23976482998316759</v>
      </c>
      <c r="AG90" s="833">
        <v>1.844344846024366E-2</v>
      </c>
      <c r="AH90" s="833">
        <v>0.22132138152292394</v>
      </c>
      <c r="AI90" s="833" t="s">
        <v>452</v>
      </c>
      <c r="AJ90" s="832"/>
      <c r="AK90" s="839">
        <v>1.3832586345182744E-2</v>
      </c>
      <c r="AL90" s="833" t="s">
        <v>452</v>
      </c>
      <c r="AM90" s="837"/>
      <c r="AN90" s="833" t="s">
        <v>452</v>
      </c>
      <c r="AO90" s="833" t="s">
        <v>452</v>
      </c>
      <c r="AP90" s="834"/>
      <c r="AQ90" s="834"/>
      <c r="AR90" s="839">
        <v>5.3350867880701367</v>
      </c>
      <c r="AS90" s="833">
        <v>0.41039129139001052</v>
      </c>
      <c r="AT90" s="833">
        <v>4.9246954966801271</v>
      </c>
      <c r="AU90" s="833" t="s">
        <v>452</v>
      </c>
      <c r="AV90" s="832"/>
      <c r="AW90" s="839">
        <v>0.30779346854250789</v>
      </c>
      <c r="AX90" s="833" t="s">
        <v>452</v>
      </c>
      <c r="AY90" s="837"/>
      <c r="AZ90" s="833" t="s">
        <v>452</v>
      </c>
      <c r="BA90" s="833" t="s">
        <v>452</v>
      </c>
    </row>
    <row r="91" spans="1:53">
      <c r="A91" s="764" t="s">
        <v>1052</v>
      </c>
      <c r="B91" s="764" t="s">
        <v>1052</v>
      </c>
      <c r="C91" s="896">
        <v>0.30813150449140214</v>
      </c>
      <c r="D91" s="881">
        <v>0.12022522281398017</v>
      </c>
      <c r="E91" s="881">
        <v>0.18790628167742199</v>
      </c>
      <c r="F91" s="881" t="s">
        <v>452</v>
      </c>
      <c r="G91" s="883"/>
      <c r="H91" s="882">
        <v>2.1748412231183102E-2</v>
      </c>
      <c r="I91" s="881">
        <v>4.3496824462366203E-3</v>
      </c>
      <c r="J91" s="884"/>
      <c r="K91" s="881">
        <v>1.7398729784946481E-2</v>
      </c>
      <c r="L91" s="881" t="s">
        <v>452</v>
      </c>
      <c r="M91" s="885"/>
      <c r="N91" s="885"/>
      <c r="O91" s="882">
        <v>2.00881632790301</v>
      </c>
      <c r="P91" s="881">
        <v>0.78378999581082998</v>
      </c>
      <c r="Q91" s="881">
        <v>1.2250263320921801</v>
      </c>
      <c r="R91" s="881" t="s">
        <v>452</v>
      </c>
      <c r="S91" s="883"/>
      <c r="T91" s="882">
        <v>0.14178545510326157</v>
      </c>
      <c r="U91" s="881">
        <v>2.8357091020652314E-2</v>
      </c>
      <c r="V91" s="884"/>
      <c r="W91" s="881">
        <v>0.11342836408260926</v>
      </c>
      <c r="X91" s="881" t="s">
        <v>452</v>
      </c>
      <c r="Z91" s="898"/>
      <c r="AA91" s="479" t="s">
        <v>1267</v>
      </c>
      <c r="AC91" s="717"/>
      <c r="AF91" s="839">
        <v>0.30813150449140214</v>
      </c>
      <c r="AG91" s="833">
        <v>0.12022522281398017</v>
      </c>
      <c r="AH91" s="833">
        <v>0.18790628167742199</v>
      </c>
      <c r="AI91" s="833" t="s">
        <v>452</v>
      </c>
      <c r="AJ91" s="832"/>
      <c r="AK91" s="839">
        <v>2.1748412231183102E-2</v>
      </c>
      <c r="AL91" s="833">
        <v>4.3496824462366203E-3</v>
      </c>
      <c r="AM91" s="837"/>
      <c r="AN91" s="833">
        <v>1.7398729784946481E-2</v>
      </c>
      <c r="AO91" s="833" t="s">
        <v>452</v>
      </c>
      <c r="AP91" s="834"/>
      <c r="AQ91" s="834"/>
      <c r="AR91" s="839">
        <v>2.00881632790301</v>
      </c>
      <c r="AS91" s="833">
        <v>0.78378999581082998</v>
      </c>
      <c r="AT91" s="833">
        <v>1.2250263320921801</v>
      </c>
      <c r="AU91" s="833" t="s">
        <v>452</v>
      </c>
      <c r="AV91" s="832"/>
      <c r="AW91" s="839">
        <v>0.14178545510326157</v>
      </c>
      <c r="AX91" s="833">
        <v>2.8357091020652314E-2</v>
      </c>
      <c r="AY91" s="837"/>
      <c r="AZ91" s="833">
        <v>0.11342836408260926</v>
      </c>
      <c r="BA91" s="833" t="s">
        <v>452</v>
      </c>
    </row>
    <row r="92" spans="1:53">
      <c r="A92" s="764" t="s">
        <v>549</v>
      </c>
      <c r="B92" s="764" t="s">
        <v>549</v>
      </c>
      <c r="C92" s="896" t="str">
        <f>IF(ISNUMBER(INDEX('Database.Jan 12 to SEC'!$G$6:$G$191, MATCH($A92&amp;"USD bn", 'Database.Jan 12 to SEC'!$AD$6:$AD$191, 0))), INDEX('Database.Jan 12 to SEC'!$G$6:$G$191, MATCH($A92&amp;"USD bn", 'Database.Jan 12 to SEC'!$AD$6:$AD$191, 0)), "")</f>
        <v/>
      </c>
      <c r="D92" s="881" t="str">
        <f>IF(ISNUMBER(INDEX('Database.Jan 12 to SEC'!$H$6:$H$191, MATCH($A92&amp;"USD bn", 'Database.Jan 12 to SEC'!$AD$6:$AD$191, 0))), INDEX('Database.Jan 12 to SEC'!$H$6:$H$191, MATCH($A92&amp;"USD bn", 'Database.Jan 12 to SEC'!$AD$6:$AD$191, 0)), "")</f>
        <v/>
      </c>
      <c r="E92" s="881" t="str">
        <f>IF(ISNUMBER(INDEX('Database.Jan 12 to SEC'!$J$6:$J$191, MATCH($A92&amp;"USD bn", 'Database.Jan 12 to SEC'!$AD$6:$AD$191, 0))), INDEX('Database.Jan 12 to SEC'!$J$6:$J$191, MATCH($A92&amp;"USD bn", 'Database.Jan 12 to SEC'!$AD$6:$AD$191, 0)), "")</f>
        <v/>
      </c>
      <c r="F92" s="881" t="str">
        <f>IF(ISNUMBER(INDEX('Database.Jan 12 to SEC'!$L$6:$L$191, MATCH($A92&amp;"USD bn", 'Database.Jan 12 to SEC'!$AD$6:$AD$191, 0))), INDEX('Database.Jan 12 to SEC'!$L$6:$L$191, MATCH($A92&amp;"USD bn", 'Database.Jan 12 to SEC'!$AD$6:$AD$191, 0)), "")</f>
        <v/>
      </c>
      <c r="G92" s="883"/>
      <c r="H92" s="882" t="str">
        <f>IF(ISNUMBER(INDEX('Database.Jan 12 to SEC'!$P$6:$P$191, MATCH($A92&amp;"USD bn", 'Database.Jan 12 to SEC'!$AD$6:$AD$191, 0))), INDEX('Database.Jan 12 to SEC'!$P$6:$P$191, MATCH($A92&amp;"USD bn", 'Database.Jan 12 to SEC'!$AD$6:$AD$191, 0)), "")</f>
        <v/>
      </c>
      <c r="I92" s="881" t="str">
        <f>IF(ISNUMBER(INDEX('Database.Jan 12 to SEC'!$Q$6:$Q$191, MATCH($A92&amp;"USD bn", 'Database.Jan 12 to SEC'!$AD$6:$AD$191, 0))), INDEX('Database.Jan 12 to SEC'!$Q$6:$Q$191, MATCH($A92&amp;"USD bn", 'Database.Jan 12 to SEC'!$AD$6:$AD$191, 0)), "")</f>
        <v/>
      </c>
      <c r="J92" s="884"/>
      <c r="K92" s="881" t="str">
        <f>IF(ISNUMBER(INDEX('Database.Jan 12 to SEC'!$U$6:$U$191, MATCH($A92&amp;"USD bn", 'Database.Jan 12 to SEC'!$AD$6:$AD$191, 0))), INDEX('Database.Jan 12 to SEC'!$U$6:$U$191, MATCH($A92&amp;"USD bn", 'Database.Jan 12 to SEC'!$AD$6:$AD$191, 0)), "")</f>
        <v/>
      </c>
      <c r="L92" s="881" t="str">
        <f>IF(ISNUMBER(INDEX('Database.Jan 12 to SEC'!$W$6:$W$191, MATCH($A92&amp;"USD bn", 'Database.Jan 12 to SEC'!$AD$6:$AD$191, 0))), INDEX('Database.Jan 12 to SEC'!$W$6:$W$191, MATCH($A92&amp;"USD bn", 'Database.Jan 12 to SEC'!$AD$6:$AD$191, 0)), "")</f>
        <v/>
      </c>
      <c r="M92" s="885"/>
      <c r="N92" s="885"/>
      <c r="O92" s="882" t="str">
        <f>IF(ISNUMBER(INDEX('Database.Jan 12 to SEC'!$G$6:$G$191, MATCH($A92&amp;"% GDP", 'Database.Jan 12 to SEC'!$AD$6:$AD$191, 0))), INDEX('Database.Jan 12 to SEC'!$G$6:$G$191, MATCH($A92&amp;"% GDP", 'Database.Jan 12 to SEC'!$AD$6:$AD$191, 0)), "")</f>
        <v/>
      </c>
      <c r="P92" s="881" t="str">
        <f>IF(ISNUMBER(INDEX('Database.Jan 12 to SEC'!$H$6:$H$191, MATCH($A92&amp;"% GDP", 'Database.Jan 12 to SEC'!$AD$6:$AD$191, 0))), INDEX('Database.Jan 12 to SEC'!$H$6:$H$191, MATCH($A92&amp;"% GDP", 'Database.Jan 12 to SEC'!$AD$6:$AD$191, 0)), "")</f>
        <v/>
      </c>
      <c r="Q92" s="881" t="str">
        <f>IF(ISNUMBER(INDEX('Database.Jan 12 to SEC'!$J$6:$J$191, MATCH($A92&amp;"% GDP", 'Database.Jan 12 to SEC'!$AD$6:$AD$191, 0))), INDEX('Database.Jan 12 to SEC'!$J$6:$J$191, MATCH($A92&amp;"% GDP", 'Database.Jan 12 to SEC'!$AD$6:$AD$191, 0)), "")</f>
        <v/>
      </c>
      <c r="R92" s="881" t="str">
        <f>IF(ISNUMBER(INDEX('Database.Jan 12 to SEC'!$L$6:$L$191, MATCH($A92&amp;"% GDP", 'Database.Jan 12 to SEC'!$AD$6:$AD$191, 0))), INDEX('Database.Jan 12 to SEC'!$L$6:$L$191, MATCH($A92&amp;"% GDP", 'Database.Jan 12 to SEC'!$AD$6:$AD$191, 0)), "")</f>
        <v/>
      </c>
      <c r="S92" s="883"/>
      <c r="T92" s="882" t="str">
        <f>IF(ISNUMBER(INDEX('Database.Jan 12 to SEC'!$P$6:$P$191, MATCH($A92&amp;"% GDP", 'Database.Jan 12 to SEC'!$AD$6:$AD$191, 0))), INDEX('Database.Jan 12 to SEC'!$P$6:$P$191, MATCH($A92&amp;"% GDP", 'Database.Jan 12 to SEC'!$AD$6:$AD$191, 0)), "")</f>
        <v/>
      </c>
      <c r="U92" s="881" t="str">
        <f>IF(ISNUMBER(INDEX('Database.Jan 12 to SEC'!$Q$6:$Q$191, MATCH($A92&amp;"% GDP", 'Database.Jan 12 to SEC'!$AD$6:$AD$191, 0))), INDEX('Database.Jan 12 to SEC'!$Q$6:$Q$191, MATCH($A92&amp;"% GDP", 'Database.Jan 12 to SEC'!$AD$6:$AD$191, 0)), "")</f>
        <v/>
      </c>
      <c r="V92" s="884"/>
      <c r="W92" s="881" t="str">
        <f>IF(ISNUMBER(INDEX('Database.Jan 12 to SEC'!$U$6:$U$191, MATCH($A92&amp;"% GDP", 'Database.Jan 12 to SEC'!$AD$6:$AD$191, 0))), INDEX('Database.Jan 12 to SEC'!$U$6:$U$191, MATCH($A92&amp;"% GDP", 'Database.Jan 12 to SEC'!$AD$6:$AD$191, 0)), "")</f>
        <v/>
      </c>
      <c r="X92" s="881" t="str">
        <f>IF(ISNUMBER(INDEX('Database.Jan 12 to SEC'!$W$6:$W$191, MATCH($A92&amp;"% GDP", 'Database.Jan 12 to SEC'!$AD$6:$AD$191, 0))), INDEX('Database.Jan 12 to SEC'!$W$6:$W$191, MATCH($A92&amp;"% GDP", 'Database.Jan 12 to SEC'!$AD$6:$AD$191, 0)), "")</f>
        <v/>
      </c>
      <c r="Z92" s="898"/>
      <c r="AA92" s="479" t="s">
        <v>1267</v>
      </c>
      <c r="AC92" s="562"/>
      <c r="AF92" s="839">
        <v>1.1321361565263992</v>
      </c>
      <c r="AG92" s="833">
        <v>0.41490217099973153</v>
      </c>
      <c r="AH92" s="833">
        <v>0.71723398552666773</v>
      </c>
      <c r="AI92" s="833" t="s">
        <v>452</v>
      </c>
      <c r="AJ92" s="832"/>
      <c r="AK92" s="839">
        <v>5.9361103903259175E-5</v>
      </c>
      <c r="AL92" s="833">
        <v>2.4881899839689477E-5</v>
      </c>
      <c r="AM92" s="837"/>
      <c r="AN92" s="833">
        <v>3.4479204063569698E-5</v>
      </c>
      <c r="AO92" s="833" t="s">
        <v>452</v>
      </c>
      <c r="AP92" s="834"/>
      <c r="AQ92" s="834"/>
      <c r="AR92" s="839">
        <v>7.1244589204446775</v>
      </c>
      <c r="AS92" s="833">
        <v>2.6109522748220551</v>
      </c>
      <c r="AT92" s="833">
        <v>4.5135066456226216</v>
      </c>
      <c r="AU92" s="833" t="s">
        <v>452</v>
      </c>
      <c r="AV92" s="832"/>
      <c r="AW92" s="839">
        <v>4.5185755271281601E-4</v>
      </c>
      <c r="AX92" s="833">
        <v>1.8940136940058156E-4</v>
      </c>
      <c r="AY92" s="837"/>
      <c r="AZ92" s="833">
        <v>2.6245618331223442E-4</v>
      </c>
      <c r="BA92" s="833" t="s">
        <v>452</v>
      </c>
    </row>
    <row r="93" spans="1:53">
      <c r="A93" s="764" t="s">
        <v>1053</v>
      </c>
      <c r="B93" s="764" t="s">
        <v>1053</v>
      </c>
      <c r="C93" s="896">
        <v>2.3628828446554253E-2</v>
      </c>
      <c r="D93" s="881">
        <v>5.1367018362074466E-3</v>
      </c>
      <c r="E93" s="881">
        <v>1.8492126610346805E-2</v>
      </c>
      <c r="F93" s="881">
        <v>3.7037039653427624E-3</v>
      </c>
      <c r="G93" s="883"/>
      <c r="H93" s="882" t="s">
        <v>452</v>
      </c>
      <c r="I93" s="881" t="s">
        <v>452</v>
      </c>
      <c r="J93" s="884"/>
      <c r="K93" s="881" t="s">
        <v>452</v>
      </c>
      <c r="L93" s="881" t="s">
        <v>452</v>
      </c>
      <c r="M93" s="885"/>
      <c r="N93" s="885"/>
      <c r="O93" s="882">
        <v>2.2999999999999998</v>
      </c>
      <c r="P93" s="881">
        <v>0.5</v>
      </c>
      <c r="Q93" s="881">
        <v>1.7999999999999998</v>
      </c>
      <c r="R93" s="881">
        <v>0.36051381639831542</v>
      </c>
      <c r="S93" s="883"/>
      <c r="T93" s="882" t="s">
        <v>452</v>
      </c>
      <c r="U93" s="881" t="s">
        <v>452</v>
      </c>
      <c r="V93" s="884"/>
      <c r="W93" s="881" t="s">
        <v>452</v>
      </c>
      <c r="X93" s="881" t="s">
        <v>452</v>
      </c>
      <c r="Z93" s="898"/>
      <c r="AA93" s="479" t="s">
        <v>1267</v>
      </c>
      <c r="AC93" s="717"/>
      <c r="AF93" s="839">
        <v>2.3628828446554253E-2</v>
      </c>
      <c r="AG93" s="833">
        <v>5.1367018362074466E-3</v>
      </c>
      <c r="AH93" s="833">
        <v>1.8492126610346805E-2</v>
      </c>
      <c r="AI93" s="833">
        <v>3.7037039653427624E-3</v>
      </c>
      <c r="AJ93" s="832"/>
      <c r="AK93" s="839" t="s">
        <v>452</v>
      </c>
      <c r="AL93" s="833" t="s">
        <v>452</v>
      </c>
      <c r="AM93" s="837"/>
      <c r="AN93" s="833" t="s">
        <v>452</v>
      </c>
      <c r="AO93" s="833" t="s">
        <v>452</v>
      </c>
      <c r="AP93" s="834"/>
      <c r="AQ93" s="834"/>
      <c r="AR93" s="839">
        <v>2.2999999999999998</v>
      </c>
      <c r="AS93" s="833">
        <v>0.5</v>
      </c>
      <c r="AT93" s="833">
        <v>1.7999999999999998</v>
      </c>
      <c r="AU93" s="833">
        <v>0.36051381639831542</v>
      </c>
      <c r="AV93" s="832"/>
      <c r="AW93" s="839" t="s">
        <v>452</v>
      </c>
      <c r="AX93" s="833" t="s">
        <v>452</v>
      </c>
      <c r="AY93" s="837"/>
      <c r="AZ93" s="833" t="s">
        <v>452</v>
      </c>
      <c r="BA93" s="833" t="s">
        <v>452</v>
      </c>
    </row>
    <row r="94" spans="1:53">
      <c r="A94" s="764" t="s">
        <v>1054</v>
      </c>
      <c r="B94" s="764" t="s">
        <v>1054</v>
      </c>
      <c r="C94" s="896">
        <v>2.759078567476394</v>
      </c>
      <c r="D94" s="881">
        <v>0.4123401154116329</v>
      </c>
      <c r="E94" s="881">
        <v>2.3467384520647609</v>
      </c>
      <c r="F94" s="881" t="s">
        <v>452</v>
      </c>
      <c r="G94" s="883"/>
      <c r="H94" s="882" t="s">
        <v>452</v>
      </c>
      <c r="I94" s="881" t="s">
        <v>452</v>
      </c>
      <c r="J94" s="884"/>
      <c r="K94" s="881" t="s">
        <v>452</v>
      </c>
      <c r="L94" s="881" t="s">
        <v>452</v>
      </c>
      <c r="M94" s="885"/>
      <c r="N94" s="885"/>
      <c r="O94" s="882">
        <v>3.5553616255933731</v>
      </c>
      <c r="P94" s="881">
        <v>0.53134341309032151</v>
      </c>
      <c r="Q94" s="881">
        <v>3.0240182125030515</v>
      </c>
      <c r="R94" s="881" t="s">
        <v>452</v>
      </c>
      <c r="S94" s="883"/>
      <c r="T94" s="882" t="s">
        <v>452</v>
      </c>
      <c r="U94" s="881" t="s">
        <v>452</v>
      </c>
      <c r="V94" s="884"/>
      <c r="W94" s="881" t="s">
        <v>452</v>
      </c>
      <c r="X94" s="881" t="s">
        <v>452</v>
      </c>
      <c r="Z94" s="898"/>
      <c r="AA94" s="479" t="s">
        <v>1267</v>
      </c>
      <c r="AC94" s="717"/>
      <c r="AF94" s="839">
        <v>2.759078567476394</v>
      </c>
      <c r="AG94" s="833">
        <v>0.4123401154116329</v>
      </c>
      <c r="AH94" s="833">
        <v>2.3467384520647609</v>
      </c>
      <c r="AI94" s="833" t="s">
        <v>452</v>
      </c>
      <c r="AJ94" s="832"/>
      <c r="AK94" s="839" t="s">
        <v>452</v>
      </c>
      <c r="AL94" s="833" t="s">
        <v>452</v>
      </c>
      <c r="AM94" s="837"/>
      <c r="AN94" s="833" t="s">
        <v>452</v>
      </c>
      <c r="AO94" s="833" t="s">
        <v>452</v>
      </c>
      <c r="AP94" s="834"/>
      <c r="AQ94" s="834"/>
      <c r="AR94" s="839">
        <v>3.5553616255933731</v>
      </c>
      <c r="AS94" s="833">
        <v>0.53134341309032151</v>
      </c>
      <c r="AT94" s="833">
        <v>3.0240182125030515</v>
      </c>
      <c r="AU94" s="833" t="s">
        <v>452</v>
      </c>
      <c r="AV94" s="832"/>
      <c r="AW94" s="839" t="s">
        <v>452</v>
      </c>
      <c r="AX94" s="833" t="s">
        <v>452</v>
      </c>
      <c r="AY94" s="837"/>
      <c r="AZ94" s="833" t="s">
        <v>452</v>
      </c>
      <c r="BA94" s="833" t="s">
        <v>452</v>
      </c>
    </row>
    <row r="95" spans="1:53">
      <c r="A95" s="764" t="s">
        <v>1055</v>
      </c>
      <c r="B95" s="764" t="s">
        <v>1055</v>
      </c>
      <c r="C95" s="896">
        <v>1.5159232613908873</v>
      </c>
      <c r="D95" s="881">
        <v>1.0848920863309353</v>
      </c>
      <c r="E95" s="881">
        <v>0.43103117505995209</v>
      </c>
      <c r="F95" s="881">
        <v>0.19952038369304556</v>
      </c>
      <c r="G95" s="883"/>
      <c r="H95" s="882" t="s">
        <v>452</v>
      </c>
      <c r="I95" s="881" t="s">
        <v>452</v>
      </c>
      <c r="J95" s="884"/>
      <c r="K95" s="881" t="s">
        <v>452</v>
      </c>
      <c r="L95" s="881" t="s">
        <v>452</v>
      </c>
      <c r="M95" s="885"/>
      <c r="N95" s="885"/>
      <c r="O95" s="882">
        <v>27.70703520296129</v>
      </c>
      <c r="P95" s="881">
        <v>19.828934612300575</v>
      </c>
      <c r="Q95" s="881">
        <v>7.8781005906607113</v>
      </c>
      <c r="R95" s="881">
        <v>3.6467006183541288</v>
      </c>
      <c r="S95" s="883"/>
      <c r="T95" s="882" t="s">
        <v>452</v>
      </c>
      <c r="U95" s="881" t="s">
        <v>452</v>
      </c>
      <c r="V95" s="884"/>
      <c r="W95" s="881" t="s">
        <v>452</v>
      </c>
      <c r="X95" s="881" t="s">
        <v>452</v>
      </c>
      <c r="Z95" s="898"/>
      <c r="AA95" s="479" t="s">
        <v>1267</v>
      </c>
      <c r="AC95" s="717"/>
      <c r="AF95" s="839">
        <v>1.5159232613908873</v>
      </c>
      <c r="AG95" s="833">
        <v>1.0848920863309353</v>
      </c>
      <c r="AH95" s="833">
        <v>0.43103117505995209</v>
      </c>
      <c r="AI95" s="833">
        <v>0.19952038369304556</v>
      </c>
      <c r="AJ95" s="832"/>
      <c r="AK95" s="839" t="s">
        <v>452</v>
      </c>
      <c r="AL95" s="833" t="s">
        <v>452</v>
      </c>
      <c r="AM95" s="837"/>
      <c r="AN95" s="833" t="s">
        <v>452</v>
      </c>
      <c r="AO95" s="833" t="s">
        <v>452</v>
      </c>
      <c r="AP95" s="834"/>
      <c r="AQ95" s="834"/>
      <c r="AR95" s="839">
        <v>27.70703520296129</v>
      </c>
      <c r="AS95" s="833">
        <v>19.828934612300575</v>
      </c>
      <c r="AT95" s="833">
        <v>7.8781005906607113</v>
      </c>
      <c r="AU95" s="833">
        <v>3.6467006183541288</v>
      </c>
      <c r="AV95" s="832"/>
      <c r="AW95" s="839" t="s">
        <v>452</v>
      </c>
      <c r="AX95" s="833" t="s">
        <v>452</v>
      </c>
      <c r="AY95" s="837"/>
      <c r="AZ95" s="833" t="s">
        <v>452</v>
      </c>
      <c r="BA95" s="833" t="s">
        <v>452</v>
      </c>
    </row>
    <row r="96" spans="1:53">
      <c r="A96" s="764" t="s">
        <v>40</v>
      </c>
      <c r="B96" s="764" t="s">
        <v>40</v>
      </c>
      <c r="C96" s="896">
        <v>17.8</v>
      </c>
      <c r="D96" s="881">
        <v>7.7</v>
      </c>
      <c r="E96" s="881">
        <v>10.100000000000001</v>
      </c>
      <c r="F96" s="881" t="s">
        <v>452</v>
      </c>
      <c r="G96" s="883"/>
      <c r="H96" s="882">
        <v>6.5</v>
      </c>
      <c r="I96" s="881" t="s">
        <v>452</v>
      </c>
      <c r="J96" s="884"/>
      <c r="K96" s="881">
        <v>6.5</v>
      </c>
      <c r="L96" s="881" t="s">
        <v>452</v>
      </c>
      <c r="M96" s="885"/>
      <c r="N96" s="885"/>
      <c r="O96" s="882">
        <v>11.5</v>
      </c>
      <c r="P96" s="881">
        <v>4.9000000000000004</v>
      </c>
      <c r="Q96" s="881">
        <v>6.6</v>
      </c>
      <c r="R96" s="881" t="s">
        <v>452</v>
      </c>
      <c r="S96" s="883"/>
      <c r="T96" s="882">
        <v>4.2</v>
      </c>
      <c r="U96" s="881" t="s">
        <v>452</v>
      </c>
      <c r="V96" s="884"/>
      <c r="W96" s="881">
        <v>4.2</v>
      </c>
      <c r="X96" s="881" t="s">
        <v>452</v>
      </c>
      <c r="Z96" s="898"/>
      <c r="AA96" s="479" t="s">
        <v>1267</v>
      </c>
      <c r="AC96" s="717"/>
      <c r="AF96" s="839">
        <v>17.8</v>
      </c>
      <c r="AG96" s="833">
        <v>7.7</v>
      </c>
      <c r="AH96" s="833">
        <v>10.100000000000001</v>
      </c>
      <c r="AI96" s="833" t="s">
        <v>452</v>
      </c>
      <c r="AJ96" s="832"/>
      <c r="AK96" s="839">
        <v>6.5</v>
      </c>
      <c r="AL96" s="833" t="s">
        <v>452</v>
      </c>
      <c r="AM96" s="837"/>
      <c r="AN96" s="833">
        <v>6.5</v>
      </c>
      <c r="AO96" s="833" t="s">
        <v>452</v>
      </c>
      <c r="AP96" s="834"/>
      <c r="AQ96" s="834"/>
      <c r="AR96" s="839">
        <v>11.5</v>
      </c>
      <c r="AS96" s="833">
        <v>4.9000000000000004</v>
      </c>
      <c r="AT96" s="833">
        <v>6.6</v>
      </c>
      <c r="AU96" s="833" t="s">
        <v>452</v>
      </c>
      <c r="AV96" s="832"/>
      <c r="AW96" s="839">
        <v>4.2</v>
      </c>
      <c r="AX96" s="833" t="s">
        <v>452</v>
      </c>
      <c r="AY96" s="837"/>
      <c r="AZ96" s="833">
        <v>4.2</v>
      </c>
      <c r="BA96" s="833" t="s">
        <v>452</v>
      </c>
    </row>
    <row r="97" spans="1:53">
      <c r="A97" s="764" t="s">
        <v>28</v>
      </c>
      <c r="B97" s="764" t="s">
        <v>28</v>
      </c>
      <c r="C97" s="896">
        <v>35.714285714285715</v>
      </c>
      <c r="D97" s="881">
        <v>14.285714285714286</v>
      </c>
      <c r="E97" s="881">
        <v>21.428571428571427</v>
      </c>
      <c r="F97" s="881">
        <v>40.476190476190474</v>
      </c>
      <c r="G97" s="883"/>
      <c r="H97" s="882" t="s">
        <v>452</v>
      </c>
      <c r="I97" s="881" t="s">
        <v>452</v>
      </c>
      <c r="J97" s="884"/>
      <c r="K97" s="881" t="s">
        <v>452</v>
      </c>
      <c r="L97" s="881" t="s">
        <v>452</v>
      </c>
      <c r="M97" s="885"/>
      <c r="N97" s="885"/>
      <c r="O97" s="882">
        <v>4.2753648489477971</v>
      </c>
      <c r="P97" s="881">
        <v>1.7101459395791188</v>
      </c>
      <c r="Q97" s="881">
        <v>2.5652189093686784</v>
      </c>
      <c r="R97" s="881">
        <v>4.8454134954741699</v>
      </c>
      <c r="S97" s="883"/>
      <c r="T97" s="882" t="s">
        <v>452</v>
      </c>
      <c r="U97" s="881" t="s">
        <v>452</v>
      </c>
      <c r="V97" s="884"/>
      <c r="W97" s="881" t="s">
        <v>452</v>
      </c>
      <c r="X97" s="881" t="s">
        <v>452</v>
      </c>
      <c r="Z97" s="898"/>
      <c r="AA97" s="479" t="s">
        <v>1267</v>
      </c>
      <c r="AC97" s="717"/>
      <c r="AF97" s="839">
        <v>35.714285714285715</v>
      </c>
      <c r="AG97" s="833">
        <v>14.285714285714286</v>
      </c>
      <c r="AH97" s="833">
        <v>21.428571428571427</v>
      </c>
      <c r="AI97" s="833">
        <v>40.476190476190474</v>
      </c>
      <c r="AJ97" s="832"/>
      <c r="AK97" s="839" t="s">
        <v>452</v>
      </c>
      <c r="AL97" s="833" t="s">
        <v>452</v>
      </c>
      <c r="AM97" s="837"/>
      <c r="AN97" s="833" t="s">
        <v>452</v>
      </c>
      <c r="AO97" s="833" t="s">
        <v>452</v>
      </c>
      <c r="AP97" s="834"/>
      <c r="AQ97" s="834"/>
      <c r="AR97" s="839">
        <v>4.2753648489477971</v>
      </c>
      <c r="AS97" s="833">
        <v>1.7101459395791188</v>
      </c>
      <c r="AT97" s="833">
        <v>2.5652189093686784</v>
      </c>
      <c r="AU97" s="833">
        <v>4.8454134954741699</v>
      </c>
      <c r="AV97" s="832"/>
      <c r="AW97" s="839" t="s">
        <v>452</v>
      </c>
      <c r="AX97" s="833" t="s">
        <v>452</v>
      </c>
      <c r="AY97" s="837"/>
      <c r="AZ97" s="833" t="s">
        <v>452</v>
      </c>
      <c r="BA97" s="833" t="s">
        <v>452</v>
      </c>
    </row>
    <row r="98" spans="1:53">
      <c r="A98" s="764" t="s">
        <v>1056</v>
      </c>
      <c r="B98" s="764" t="s">
        <v>1056</v>
      </c>
      <c r="C98" s="896">
        <v>0.28887876570818538</v>
      </c>
      <c r="D98" s="881">
        <v>3.6949609567326042E-2</v>
      </c>
      <c r="E98" s="881">
        <v>0.25192915614085937</v>
      </c>
      <c r="F98" s="881">
        <v>0</v>
      </c>
      <c r="G98" s="883"/>
      <c r="H98" s="882" t="s">
        <v>452</v>
      </c>
      <c r="I98" s="881">
        <v>0</v>
      </c>
      <c r="J98" s="884"/>
      <c r="K98" s="881">
        <v>0</v>
      </c>
      <c r="L98" s="881">
        <v>0</v>
      </c>
      <c r="M98" s="885"/>
      <c r="N98" s="885"/>
      <c r="O98" s="882">
        <v>0.17044210769576476</v>
      </c>
      <c r="P98" s="881">
        <v>2.1800734705272235E-2</v>
      </c>
      <c r="Q98" s="881">
        <v>0.14864137299049252</v>
      </c>
      <c r="R98" s="881">
        <v>0</v>
      </c>
      <c r="S98" s="883"/>
      <c r="T98" s="882" t="s">
        <v>452</v>
      </c>
      <c r="U98" s="881">
        <v>0</v>
      </c>
      <c r="V98" s="884"/>
      <c r="W98" s="881">
        <v>0</v>
      </c>
      <c r="X98" s="881">
        <v>0</v>
      </c>
      <c r="Z98" s="898"/>
      <c r="AA98" s="479" t="s">
        <v>1267</v>
      </c>
      <c r="AC98" s="717"/>
      <c r="AF98" s="839">
        <v>0.28887876570818538</v>
      </c>
      <c r="AG98" s="833">
        <v>3.6949609567326042E-2</v>
      </c>
      <c r="AH98" s="833">
        <v>0.25192915614085937</v>
      </c>
      <c r="AI98" s="833">
        <v>0</v>
      </c>
      <c r="AJ98" s="832"/>
      <c r="AK98" s="839" t="s">
        <v>452</v>
      </c>
      <c r="AL98" s="833">
        <v>0</v>
      </c>
      <c r="AM98" s="837"/>
      <c r="AN98" s="833">
        <v>0</v>
      </c>
      <c r="AO98" s="833">
        <v>0</v>
      </c>
      <c r="AP98" s="834"/>
      <c r="AQ98" s="834"/>
      <c r="AR98" s="839">
        <v>0.17044210769576476</v>
      </c>
      <c r="AS98" s="833">
        <v>2.1800734705272235E-2</v>
      </c>
      <c r="AT98" s="833">
        <v>0.14864137299049252</v>
      </c>
      <c r="AU98" s="833">
        <v>0</v>
      </c>
      <c r="AV98" s="832"/>
      <c r="AW98" s="839" t="s">
        <v>452</v>
      </c>
      <c r="AX98" s="833">
        <v>0</v>
      </c>
      <c r="AY98" s="837"/>
      <c r="AZ98" s="833">
        <v>0</v>
      </c>
      <c r="BA98" s="833">
        <v>0</v>
      </c>
    </row>
    <row r="99" spans="1:53">
      <c r="A99" s="764" t="s">
        <v>1057</v>
      </c>
      <c r="B99" s="764" t="s">
        <v>1057</v>
      </c>
      <c r="C99" s="896">
        <v>0.18157499647456088</v>
      </c>
      <c r="D99" s="881">
        <v>8.3803844526720392E-2</v>
      </c>
      <c r="E99" s="881">
        <v>9.7771151947840487E-2</v>
      </c>
      <c r="F99" s="881" t="s">
        <v>452</v>
      </c>
      <c r="G99" s="883"/>
      <c r="H99" s="882" t="s">
        <v>452</v>
      </c>
      <c r="I99" s="881" t="s">
        <v>452</v>
      </c>
      <c r="J99" s="884"/>
      <c r="K99" s="881" t="s">
        <v>452</v>
      </c>
      <c r="L99" s="881" t="s">
        <v>452</v>
      </c>
      <c r="M99" s="885"/>
      <c r="N99" s="885"/>
      <c r="O99" s="882">
        <v>1.3</v>
      </c>
      <c r="P99" s="881">
        <v>0.6</v>
      </c>
      <c r="Q99" s="881">
        <v>0.70000000000000007</v>
      </c>
      <c r="R99" s="881" t="s">
        <v>452</v>
      </c>
      <c r="S99" s="883"/>
      <c r="T99" s="882" t="s">
        <v>452</v>
      </c>
      <c r="U99" s="881" t="s">
        <v>452</v>
      </c>
      <c r="V99" s="884"/>
      <c r="W99" s="881" t="s">
        <v>452</v>
      </c>
      <c r="X99" s="881" t="s">
        <v>452</v>
      </c>
      <c r="Z99" s="898"/>
      <c r="AA99" s="479" t="s">
        <v>1267</v>
      </c>
      <c r="AC99" s="717"/>
      <c r="AF99" s="839">
        <v>0.18157499647456088</v>
      </c>
      <c r="AG99" s="833">
        <v>8.3803844526720392E-2</v>
      </c>
      <c r="AH99" s="833">
        <v>9.7771151947840487E-2</v>
      </c>
      <c r="AI99" s="833" t="s">
        <v>452</v>
      </c>
      <c r="AJ99" s="832"/>
      <c r="AK99" s="839" t="s">
        <v>452</v>
      </c>
      <c r="AL99" s="833" t="s">
        <v>452</v>
      </c>
      <c r="AM99" s="837"/>
      <c r="AN99" s="833" t="s">
        <v>452</v>
      </c>
      <c r="AO99" s="833" t="s">
        <v>452</v>
      </c>
      <c r="AP99" s="834"/>
      <c r="AQ99" s="834"/>
      <c r="AR99" s="839">
        <v>1.3</v>
      </c>
      <c r="AS99" s="833">
        <v>0.6</v>
      </c>
      <c r="AT99" s="833">
        <v>0.70000000000000007</v>
      </c>
      <c r="AU99" s="833" t="s">
        <v>452</v>
      </c>
      <c r="AV99" s="832"/>
      <c r="AW99" s="839" t="s">
        <v>452</v>
      </c>
      <c r="AX99" s="833" t="s">
        <v>452</v>
      </c>
      <c r="AY99" s="837"/>
      <c r="AZ99" s="833" t="s">
        <v>452</v>
      </c>
      <c r="BA99" s="833" t="s">
        <v>452</v>
      </c>
    </row>
    <row r="100" spans="1:53">
      <c r="A100" s="764" t="s">
        <v>1058</v>
      </c>
      <c r="B100" s="764" t="s">
        <v>1058</v>
      </c>
      <c r="C100" s="896">
        <v>0.69111559999999961</v>
      </c>
      <c r="D100" s="881">
        <v>0.32440119999999983</v>
      </c>
      <c r="E100" s="881">
        <v>0.36671439999999983</v>
      </c>
      <c r="F100" s="881" t="s">
        <v>452</v>
      </c>
      <c r="G100" s="883"/>
      <c r="H100" s="882">
        <v>0.7757419999999996</v>
      </c>
      <c r="I100" s="881">
        <v>7.0521999999999974E-2</v>
      </c>
      <c r="J100" s="884"/>
      <c r="K100" s="881" t="s">
        <v>452</v>
      </c>
      <c r="L100" s="881">
        <v>0.70521999999999962</v>
      </c>
      <c r="M100" s="885"/>
      <c r="N100" s="885"/>
      <c r="O100" s="882">
        <v>1.5793578474649836</v>
      </c>
      <c r="P100" s="881">
        <v>0.7413312345243801</v>
      </c>
      <c r="Q100" s="881">
        <v>0.83802661294060354</v>
      </c>
      <c r="R100" s="881" t="s">
        <v>452</v>
      </c>
      <c r="S100" s="883"/>
      <c r="T100" s="882">
        <v>1.7727486042974305</v>
      </c>
      <c r="U100" s="881">
        <v>0.16115896402703914</v>
      </c>
      <c r="V100" s="884"/>
      <c r="W100" s="881" t="s">
        <v>452</v>
      </c>
      <c r="X100" s="881">
        <v>1.6115896402703913</v>
      </c>
      <c r="Z100" s="898"/>
      <c r="AA100" s="479" t="s">
        <v>1267</v>
      </c>
      <c r="AC100" s="717"/>
      <c r="AF100" s="839">
        <v>0.69111559999999961</v>
      </c>
      <c r="AG100" s="833">
        <v>0.32440119999999983</v>
      </c>
      <c r="AH100" s="833">
        <v>0.36671439999999983</v>
      </c>
      <c r="AI100" s="833" t="s">
        <v>452</v>
      </c>
      <c r="AJ100" s="832"/>
      <c r="AK100" s="839">
        <v>0.7757419999999996</v>
      </c>
      <c r="AL100" s="833">
        <v>7.0521999999999974E-2</v>
      </c>
      <c r="AM100" s="837"/>
      <c r="AN100" s="833" t="s">
        <v>452</v>
      </c>
      <c r="AO100" s="833">
        <v>0.70521999999999962</v>
      </c>
      <c r="AP100" s="834"/>
      <c r="AQ100" s="834"/>
      <c r="AR100" s="839">
        <v>1.5793578474649836</v>
      </c>
      <c r="AS100" s="833">
        <v>0.7413312345243801</v>
      </c>
      <c r="AT100" s="833">
        <v>0.83802661294060354</v>
      </c>
      <c r="AU100" s="833" t="s">
        <v>452</v>
      </c>
      <c r="AV100" s="832"/>
      <c r="AW100" s="839">
        <v>1.7727486042974305</v>
      </c>
      <c r="AX100" s="833">
        <v>0.16115896402703914</v>
      </c>
      <c r="AY100" s="837"/>
      <c r="AZ100" s="833" t="s">
        <v>452</v>
      </c>
      <c r="BA100" s="833">
        <v>1.6115896402703913</v>
      </c>
    </row>
    <row r="101" spans="1:53">
      <c r="A101" s="764" t="s">
        <v>35</v>
      </c>
      <c r="B101" s="764" t="s">
        <v>35</v>
      </c>
      <c r="C101" s="896" t="str">
        <f>IF(ISNUMBER(INDEX('Database.Jan 12 to SEC'!$G$6:$G$191, MATCH($A101&amp;"USD bn", 'Database.Jan 12 to SEC'!$AD$6:$AD$191, 0))), INDEX('Database.Jan 12 to SEC'!$G$6:$G$191, MATCH($A101&amp;"USD bn", 'Database.Jan 12 to SEC'!$AD$6:$AD$191, 0)), "")</f>
        <v/>
      </c>
      <c r="D101" s="881" t="str">
        <f>IF(ISNUMBER(INDEX('Database.Jan 12 to SEC'!$H$6:$H$191, MATCH($A101&amp;"USD bn", 'Database.Jan 12 to SEC'!$AD$6:$AD$191, 0))), INDEX('Database.Jan 12 to SEC'!$H$6:$H$191, MATCH($A101&amp;"USD bn", 'Database.Jan 12 to SEC'!$AD$6:$AD$191, 0)), "")</f>
        <v/>
      </c>
      <c r="E101" s="881" t="str">
        <f>IF(ISNUMBER(INDEX('Database.Jan 12 to SEC'!$J$6:$J$191, MATCH($A101&amp;"USD bn", 'Database.Jan 12 to SEC'!$AD$6:$AD$191, 0))), INDEX('Database.Jan 12 to SEC'!$J$6:$J$191, MATCH($A101&amp;"USD bn", 'Database.Jan 12 to SEC'!$AD$6:$AD$191, 0)), "")</f>
        <v/>
      </c>
      <c r="F101" s="881" t="str">
        <f>IF(ISNUMBER(INDEX('Database.Jan 12 to SEC'!$L$6:$L$191, MATCH($A101&amp;"USD bn", 'Database.Jan 12 to SEC'!$AD$6:$AD$191, 0))), INDEX('Database.Jan 12 to SEC'!$L$6:$L$191, MATCH($A101&amp;"USD bn", 'Database.Jan 12 to SEC'!$AD$6:$AD$191, 0)), "")</f>
        <v/>
      </c>
      <c r="G101" s="883"/>
      <c r="H101" s="882" t="str">
        <f>IF(ISNUMBER(INDEX('Database.Jan 12 to SEC'!$P$6:$P$191, MATCH($A101&amp;"USD bn", 'Database.Jan 12 to SEC'!$AD$6:$AD$191, 0))), INDEX('Database.Jan 12 to SEC'!$P$6:$P$191, MATCH($A101&amp;"USD bn", 'Database.Jan 12 to SEC'!$AD$6:$AD$191, 0)), "")</f>
        <v/>
      </c>
      <c r="I101" s="881" t="str">
        <f>IF(ISNUMBER(INDEX('Database.Jan 12 to SEC'!$Q$6:$Q$191, MATCH($A101&amp;"USD bn", 'Database.Jan 12 to SEC'!$AD$6:$AD$191, 0))), INDEX('Database.Jan 12 to SEC'!$Q$6:$Q$191, MATCH($A101&amp;"USD bn", 'Database.Jan 12 to SEC'!$AD$6:$AD$191, 0)), "")</f>
        <v/>
      </c>
      <c r="J101" s="884"/>
      <c r="K101" s="881" t="str">
        <f>IF(ISNUMBER(INDEX('Database.Jan 12 to SEC'!$U$6:$U$191, MATCH($A101&amp;"USD bn", 'Database.Jan 12 to SEC'!$AD$6:$AD$191, 0))), INDEX('Database.Jan 12 to SEC'!$U$6:$U$191, MATCH($A101&amp;"USD bn", 'Database.Jan 12 to SEC'!$AD$6:$AD$191, 0)), "")</f>
        <v/>
      </c>
      <c r="L101" s="881" t="str">
        <f>IF(ISNUMBER(INDEX('Database.Jan 12 to SEC'!$W$6:$W$191, MATCH($A101&amp;"USD bn", 'Database.Jan 12 to SEC'!$AD$6:$AD$191, 0))), INDEX('Database.Jan 12 to SEC'!$W$6:$W$191, MATCH($A101&amp;"USD bn", 'Database.Jan 12 to SEC'!$AD$6:$AD$191, 0)), "")</f>
        <v/>
      </c>
      <c r="M101" s="885"/>
      <c r="N101" s="885"/>
      <c r="O101" s="882" t="str">
        <f>IF(ISNUMBER(INDEX('Database.Jan 12 to SEC'!$G$6:$G$191, MATCH($A101&amp;"% GDP", 'Database.Jan 12 to SEC'!$AD$6:$AD$191, 0))), INDEX('Database.Jan 12 to SEC'!$G$6:$G$191, MATCH($A101&amp;"% GDP", 'Database.Jan 12 to SEC'!$AD$6:$AD$191, 0)), "")</f>
        <v/>
      </c>
      <c r="P101" s="881" t="str">
        <f>IF(ISNUMBER(INDEX('Database.Jan 12 to SEC'!$H$6:$H$191, MATCH($A101&amp;"% GDP", 'Database.Jan 12 to SEC'!$AD$6:$AD$191, 0))), INDEX('Database.Jan 12 to SEC'!$H$6:$H$191, MATCH($A101&amp;"% GDP", 'Database.Jan 12 to SEC'!$AD$6:$AD$191, 0)), "")</f>
        <v/>
      </c>
      <c r="Q101" s="881" t="str">
        <f>IF(ISNUMBER(INDEX('Database.Jan 12 to SEC'!$J$6:$J$191, MATCH($A101&amp;"% GDP", 'Database.Jan 12 to SEC'!$AD$6:$AD$191, 0))), INDEX('Database.Jan 12 to SEC'!$J$6:$J$191, MATCH($A101&amp;"% GDP", 'Database.Jan 12 to SEC'!$AD$6:$AD$191, 0)), "")</f>
        <v/>
      </c>
      <c r="R101" s="881" t="str">
        <f>IF(ISNUMBER(INDEX('Database.Jan 12 to SEC'!$L$6:$L$191, MATCH($A101&amp;"% GDP", 'Database.Jan 12 to SEC'!$AD$6:$AD$191, 0))), INDEX('Database.Jan 12 to SEC'!$L$6:$L$191, MATCH($A101&amp;"% GDP", 'Database.Jan 12 to SEC'!$AD$6:$AD$191, 0)), "")</f>
        <v/>
      </c>
      <c r="S101" s="883"/>
      <c r="T101" s="882" t="str">
        <f>IF(ISNUMBER(INDEX('Database.Jan 12 to SEC'!$P$6:$P$191, MATCH($A101&amp;"% GDP", 'Database.Jan 12 to SEC'!$AD$6:$AD$191, 0))), INDEX('Database.Jan 12 to SEC'!$P$6:$P$191, MATCH($A101&amp;"% GDP", 'Database.Jan 12 to SEC'!$AD$6:$AD$191, 0)), "")</f>
        <v/>
      </c>
      <c r="U101" s="881" t="str">
        <f>IF(ISNUMBER(INDEX('Database.Jan 12 to SEC'!$Q$6:$Q$191, MATCH($A101&amp;"% GDP", 'Database.Jan 12 to SEC'!$AD$6:$AD$191, 0))), INDEX('Database.Jan 12 to SEC'!$Q$6:$Q$191, MATCH($A101&amp;"% GDP", 'Database.Jan 12 to SEC'!$AD$6:$AD$191, 0)), "")</f>
        <v/>
      </c>
      <c r="V101" s="884"/>
      <c r="W101" s="881" t="str">
        <f>IF(ISNUMBER(INDEX('Database.Jan 12 to SEC'!$U$6:$U$191, MATCH($A101&amp;"% GDP", 'Database.Jan 12 to SEC'!$AD$6:$AD$191, 0))), INDEX('Database.Jan 12 to SEC'!$U$6:$U$191, MATCH($A101&amp;"% GDP", 'Database.Jan 12 to SEC'!$AD$6:$AD$191, 0)), "")</f>
        <v/>
      </c>
      <c r="X101" s="881" t="str">
        <f>IF(ISNUMBER(INDEX('Database.Jan 12 to SEC'!$W$6:$W$191, MATCH($A101&amp;"% GDP", 'Database.Jan 12 to SEC'!$AD$6:$AD$191, 0))), INDEX('Database.Jan 12 to SEC'!$W$6:$W$191, MATCH($A101&amp;"% GDP", 'Database.Jan 12 to SEC'!$AD$6:$AD$191, 0)), "")</f>
        <v/>
      </c>
      <c r="Z101" s="898"/>
      <c r="AA101" s="479" t="s">
        <v>1265</v>
      </c>
      <c r="AB101" s="479" t="s">
        <v>1274</v>
      </c>
      <c r="AC101" s="562"/>
      <c r="AF101" s="839">
        <v>9.4151074374828561</v>
      </c>
      <c r="AG101" s="833">
        <v>1.203525822126795</v>
      </c>
      <c r="AH101" s="833" t="s">
        <v>452</v>
      </c>
      <c r="AI101" s="833">
        <v>0.48431622620796583</v>
      </c>
      <c r="AJ101" s="832"/>
      <c r="AK101" s="839">
        <v>4.8843291413073349</v>
      </c>
      <c r="AL101" s="833">
        <v>0</v>
      </c>
      <c r="AM101" s="837"/>
      <c r="AN101" s="833" t="s">
        <v>452</v>
      </c>
      <c r="AO101" s="833">
        <v>4.8843291413073349</v>
      </c>
      <c r="AP101" s="834"/>
      <c r="AQ101" s="834"/>
      <c r="AR101" s="839">
        <v>5.4981978129390923</v>
      </c>
      <c r="AS101" s="833">
        <v>0.70283032742559903</v>
      </c>
      <c r="AT101" s="833" t="s">
        <v>452</v>
      </c>
      <c r="AU101" s="833">
        <v>0.28282910560386276</v>
      </c>
      <c r="AV101" s="832"/>
      <c r="AW101" s="839">
        <v>2.8523315300149559</v>
      </c>
      <c r="AX101" s="833">
        <v>0</v>
      </c>
      <c r="AY101" s="837"/>
      <c r="AZ101" s="833" t="s">
        <v>452</v>
      </c>
      <c r="BA101" s="833">
        <v>2.8523315300149559</v>
      </c>
    </row>
    <row r="102" spans="1:53" s="389" customFormat="1">
      <c r="A102" s="887" t="s">
        <v>970</v>
      </c>
      <c r="B102" s="887" t="s">
        <v>970</v>
      </c>
      <c r="C102" s="896">
        <v>0.95867676185770645</v>
      </c>
      <c r="D102" s="881">
        <v>9.2443830607707417E-2</v>
      </c>
      <c r="E102" s="881">
        <v>0.86623293124999901</v>
      </c>
      <c r="F102" s="881" t="s">
        <v>452</v>
      </c>
      <c r="G102" s="883"/>
      <c r="H102" s="882">
        <v>-7.4720856505440394E-11</v>
      </c>
      <c r="I102" s="881">
        <v>-7.4720856505440394E-11</v>
      </c>
      <c r="J102" s="884"/>
      <c r="K102" s="881" t="s">
        <v>452</v>
      </c>
      <c r="L102" s="881" t="s">
        <v>452</v>
      </c>
      <c r="M102" s="885"/>
      <c r="N102" s="885"/>
      <c r="O102" s="882">
        <v>12.321579453270983</v>
      </c>
      <c r="P102" s="881">
        <v>1.1881523044225593</v>
      </c>
      <c r="Q102" s="881">
        <v>11.133427148848424</v>
      </c>
      <c r="R102" s="881" t="s">
        <v>452</v>
      </c>
      <c r="S102" s="883"/>
      <c r="T102" s="882">
        <v>-9.6036433433952105E-10</v>
      </c>
      <c r="U102" s="881">
        <v>-9.6036433433952105E-10</v>
      </c>
      <c r="V102" s="884"/>
      <c r="W102" s="881" t="s">
        <v>452</v>
      </c>
      <c r="X102" s="881" t="s">
        <v>452</v>
      </c>
      <c r="Z102" s="898"/>
      <c r="AB102" s="870" t="s">
        <v>1291</v>
      </c>
      <c r="AC102" s="887"/>
      <c r="AF102" s="839">
        <v>0.95867676185770645</v>
      </c>
      <c r="AG102" s="833">
        <v>9.2443830607707417E-2</v>
      </c>
      <c r="AH102" s="833">
        <v>0.86623293124999901</v>
      </c>
      <c r="AI102" s="833" t="s">
        <v>452</v>
      </c>
      <c r="AJ102" s="832"/>
      <c r="AK102" s="839">
        <v>-7.4720856505440394E-11</v>
      </c>
      <c r="AL102" s="833">
        <v>-7.4720856505440394E-11</v>
      </c>
      <c r="AM102" s="837"/>
      <c r="AN102" s="833" t="s">
        <v>452</v>
      </c>
      <c r="AO102" s="833" t="s">
        <v>452</v>
      </c>
      <c r="AP102" s="834"/>
      <c r="AQ102" s="834"/>
      <c r="AR102" s="839">
        <v>12.321579453270983</v>
      </c>
      <c r="AS102" s="833">
        <v>1.1881523044225593</v>
      </c>
      <c r="AT102" s="833">
        <v>11.133427148848424</v>
      </c>
      <c r="AU102" s="833" t="s">
        <v>452</v>
      </c>
      <c r="AV102" s="832"/>
      <c r="AW102" s="839">
        <v>-9.6036433433952105E-10</v>
      </c>
      <c r="AX102" s="833">
        <v>-9.6036433433952105E-10</v>
      </c>
      <c r="AY102" s="837"/>
      <c r="AZ102" s="833" t="s">
        <v>452</v>
      </c>
      <c r="BA102" s="833" t="s">
        <v>452</v>
      </c>
    </row>
    <row r="103" spans="1:53">
      <c r="A103" s="764" t="s">
        <v>1059</v>
      </c>
      <c r="B103" s="764" t="s">
        <v>1059</v>
      </c>
      <c r="C103" s="896">
        <v>1.632743045989721</v>
      </c>
      <c r="D103" s="881" t="s">
        <v>452</v>
      </c>
      <c r="E103" s="881" t="s">
        <v>452</v>
      </c>
      <c r="F103" s="881" t="s">
        <v>452</v>
      </c>
      <c r="G103" s="883"/>
      <c r="H103" s="882" t="s">
        <v>452</v>
      </c>
      <c r="I103" s="881" t="s">
        <v>452</v>
      </c>
      <c r="J103" s="884"/>
      <c r="K103" s="881" t="s">
        <v>452</v>
      </c>
      <c r="L103" s="881" t="s">
        <v>452</v>
      </c>
      <c r="M103" s="885"/>
      <c r="N103" s="885"/>
      <c r="O103" s="882">
        <v>1.5410684997582063</v>
      </c>
      <c r="P103" s="881" t="s">
        <v>452</v>
      </c>
      <c r="Q103" s="881" t="s">
        <v>452</v>
      </c>
      <c r="R103" s="881" t="s">
        <v>452</v>
      </c>
      <c r="S103" s="883"/>
      <c r="T103" s="882" t="s">
        <v>452</v>
      </c>
      <c r="U103" s="881" t="s">
        <v>452</v>
      </c>
      <c r="V103" s="884"/>
      <c r="W103" s="881" t="s">
        <v>452</v>
      </c>
      <c r="X103" s="881" t="s">
        <v>452</v>
      </c>
      <c r="Z103" s="898"/>
      <c r="AA103" s="479" t="s">
        <v>1267</v>
      </c>
      <c r="AC103" s="717"/>
      <c r="AF103" s="839">
        <v>1.632743045989721</v>
      </c>
      <c r="AG103" s="833" t="s">
        <v>452</v>
      </c>
      <c r="AH103" s="833" t="s">
        <v>452</v>
      </c>
      <c r="AI103" s="833" t="s">
        <v>452</v>
      </c>
      <c r="AJ103" s="832"/>
      <c r="AK103" s="839" t="s">
        <v>452</v>
      </c>
      <c r="AL103" s="833" t="s">
        <v>452</v>
      </c>
      <c r="AM103" s="837"/>
      <c r="AN103" s="833" t="s">
        <v>452</v>
      </c>
      <c r="AO103" s="833" t="s">
        <v>452</v>
      </c>
      <c r="AP103" s="834"/>
      <c r="AQ103" s="834"/>
      <c r="AR103" s="839">
        <v>1.5410684997582063</v>
      </c>
      <c r="AS103" s="833" t="s">
        <v>452</v>
      </c>
      <c r="AT103" s="833" t="s">
        <v>452</v>
      </c>
      <c r="AU103" s="833" t="s">
        <v>452</v>
      </c>
      <c r="AV103" s="832"/>
      <c r="AW103" s="839" t="s">
        <v>452</v>
      </c>
      <c r="AX103" s="833" t="s">
        <v>452</v>
      </c>
      <c r="AY103" s="837"/>
      <c r="AZ103" s="833" t="s">
        <v>452</v>
      </c>
      <c r="BA103" s="833" t="s">
        <v>452</v>
      </c>
    </row>
    <row r="104" spans="1:53" ht="13.5">
      <c r="A104" s="764" t="s">
        <v>1060</v>
      </c>
      <c r="B104" s="764" t="s">
        <v>1457</v>
      </c>
      <c r="C104" s="896" t="s">
        <v>452</v>
      </c>
      <c r="D104" s="881" t="s">
        <v>452</v>
      </c>
      <c r="E104" s="881" t="s">
        <v>452</v>
      </c>
      <c r="F104" s="881" t="s">
        <v>452</v>
      </c>
      <c r="G104" s="883"/>
      <c r="H104" s="882" t="s">
        <v>452</v>
      </c>
      <c r="I104" s="881" t="s">
        <v>452</v>
      </c>
      <c r="J104" s="884"/>
      <c r="K104" s="881" t="s">
        <v>452</v>
      </c>
      <c r="L104" s="881" t="s">
        <v>452</v>
      </c>
      <c r="M104" s="885"/>
      <c r="N104" s="885"/>
      <c r="O104" s="882" t="s">
        <v>452</v>
      </c>
      <c r="P104" s="881" t="s">
        <v>452</v>
      </c>
      <c r="Q104" s="881" t="s">
        <v>452</v>
      </c>
      <c r="R104" s="881" t="s">
        <v>452</v>
      </c>
      <c r="S104" s="883"/>
      <c r="T104" s="882" t="s">
        <v>452</v>
      </c>
      <c r="U104" s="881" t="s">
        <v>452</v>
      </c>
      <c r="V104" s="884"/>
      <c r="W104" s="881" t="s">
        <v>452</v>
      </c>
      <c r="X104" s="881" t="s">
        <v>452</v>
      </c>
      <c r="Z104" s="898"/>
      <c r="AA104" s="479" t="s">
        <v>1267</v>
      </c>
      <c r="AC104" s="717"/>
      <c r="AF104" s="839" t="s">
        <v>452</v>
      </c>
      <c r="AG104" s="833" t="s">
        <v>452</v>
      </c>
      <c r="AH104" s="833" t="s">
        <v>452</v>
      </c>
      <c r="AI104" s="833" t="s">
        <v>452</v>
      </c>
      <c r="AJ104" s="832"/>
      <c r="AK104" s="839" t="s">
        <v>452</v>
      </c>
      <c r="AL104" s="833" t="s">
        <v>452</v>
      </c>
      <c r="AM104" s="837"/>
      <c r="AN104" s="833" t="s">
        <v>452</v>
      </c>
      <c r="AO104" s="833" t="s">
        <v>452</v>
      </c>
      <c r="AP104" s="834"/>
      <c r="AQ104" s="834"/>
      <c r="AR104" s="839" t="s">
        <v>452</v>
      </c>
      <c r="AS104" s="833" t="s">
        <v>452</v>
      </c>
      <c r="AT104" s="833" t="s">
        <v>452</v>
      </c>
      <c r="AU104" s="833" t="s">
        <v>452</v>
      </c>
      <c r="AV104" s="832"/>
      <c r="AW104" s="839" t="s">
        <v>452</v>
      </c>
      <c r="AX104" s="833" t="s">
        <v>452</v>
      </c>
      <c r="AY104" s="837"/>
      <c r="AZ104" s="833" t="s">
        <v>452</v>
      </c>
      <c r="BA104" s="833" t="s">
        <v>452</v>
      </c>
    </row>
    <row r="105" spans="1:53">
      <c r="A105" s="764" t="s">
        <v>1061</v>
      </c>
      <c r="B105" s="764" t="s">
        <v>1061</v>
      </c>
      <c r="C105" s="896">
        <v>0.92249999999999999</v>
      </c>
      <c r="D105" s="881" t="s">
        <v>452</v>
      </c>
      <c r="E105" s="881" t="s">
        <v>452</v>
      </c>
      <c r="F105" s="881" t="s">
        <v>452</v>
      </c>
      <c r="G105" s="883"/>
      <c r="H105" s="882" t="s">
        <v>452</v>
      </c>
      <c r="I105" s="881" t="s">
        <v>452</v>
      </c>
      <c r="J105" s="884"/>
      <c r="K105" s="881" t="s">
        <v>452</v>
      </c>
      <c r="L105" s="881" t="s">
        <v>452</v>
      </c>
      <c r="M105" s="885"/>
      <c r="N105" s="885"/>
      <c r="O105" s="882">
        <v>4.2305999999999999</v>
      </c>
      <c r="P105" s="881" t="s">
        <v>452</v>
      </c>
      <c r="Q105" s="881" t="s">
        <v>452</v>
      </c>
      <c r="R105" s="881" t="s">
        <v>452</v>
      </c>
      <c r="S105" s="883"/>
      <c r="T105" s="882" t="s">
        <v>452</v>
      </c>
      <c r="U105" s="881" t="s">
        <v>452</v>
      </c>
      <c r="V105" s="884"/>
      <c r="W105" s="881" t="s">
        <v>452</v>
      </c>
      <c r="X105" s="881" t="s">
        <v>452</v>
      </c>
      <c r="Z105" s="898"/>
      <c r="AA105" s="479" t="s">
        <v>1267</v>
      </c>
      <c r="AC105" s="717"/>
      <c r="AF105" s="839">
        <v>0.92249999999999999</v>
      </c>
      <c r="AG105" s="833" t="s">
        <v>452</v>
      </c>
      <c r="AH105" s="833" t="s">
        <v>452</v>
      </c>
      <c r="AI105" s="833" t="s">
        <v>452</v>
      </c>
      <c r="AJ105" s="832"/>
      <c r="AK105" s="839" t="s">
        <v>452</v>
      </c>
      <c r="AL105" s="833" t="s">
        <v>452</v>
      </c>
      <c r="AM105" s="837"/>
      <c r="AN105" s="833" t="s">
        <v>452</v>
      </c>
      <c r="AO105" s="833" t="s">
        <v>452</v>
      </c>
      <c r="AP105" s="834"/>
      <c r="AQ105" s="834"/>
      <c r="AR105" s="839">
        <v>4.2305999999999999</v>
      </c>
      <c r="AS105" s="833" t="s">
        <v>452</v>
      </c>
      <c r="AT105" s="833" t="s">
        <v>452</v>
      </c>
      <c r="AU105" s="833" t="s">
        <v>452</v>
      </c>
      <c r="AV105" s="832"/>
      <c r="AW105" s="839" t="s">
        <v>452</v>
      </c>
      <c r="AX105" s="833" t="s">
        <v>452</v>
      </c>
      <c r="AY105" s="837"/>
      <c r="AZ105" s="833" t="s">
        <v>452</v>
      </c>
      <c r="BA105" s="833" t="s">
        <v>452</v>
      </c>
    </row>
    <row r="106" spans="1:53">
      <c r="A106" s="764" t="s">
        <v>24</v>
      </c>
      <c r="B106" s="764" t="s">
        <v>24</v>
      </c>
      <c r="C106" s="896">
        <v>20.958814877519181</v>
      </c>
      <c r="D106" s="881">
        <v>0.78506344036110443</v>
      </c>
      <c r="E106" s="881">
        <v>20.173751437158078</v>
      </c>
      <c r="F106" s="881">
        <v>0</v>
      </c>
      <c r="G106" s="883"/>
      <c r="H106" s="882">
        <v>11.894900611531886</v>
      </c>
      <c r="I106" s="881">
        <v>0</v>
      </c>
      <c r="J106" s="884"/>
      <c r="K106" s="881">
        <v>11.894900611531886</v>
      </c>
      <c r="L106" s="881" t="s">
        <v>452</v>
      </c>
      <c r="M106" s="885"/>
      <c r="N106" s="885"/>
      <c r="O106" s="882">
        <v>6.219094242925868</v>
      </c>
      <c r="P106" s="881">
        <v>0.23295131670437419</v>
      </c>
      <c r="Q106" s="881">
        <v>5.9861429262214934</v>
      </c>
      <c r="R106" s="881">
        <v>0</v>
      </c>
      <c r="S106" s="883"/>
      <c r="T106" s="882">
        <v>3.5295654046117302</v>
      </c>
      <c r="U106" s="881">
        <v>0</v>
      </c>
      <c r="V106" s="884"/>
      <c r="W106" s="881">
        <v>3.5295654046117302</v>
      </c>
      <c r="X106" s="881" t="s">
        <v>452</v>
      </c>
      <c r="Z106" s="898"/>
      <c r="AA106" s="479" t="s">
        <v>1267</v>
      </c>
      <c r="AC106" s="717"/>
      <c r="AF106" s="839">
        <v>20.958814877519181</v>
      </c>
      <c r="AG106" s="833">
        <v>0.78506344036110443</v>
      </c>
      <c r="AH106" s="833">
        <v>20.173751437158078</v>
      </c>
      <c r="AI106" s="833">
        <v>0</v>
      </c>
      <c r="AJ106" s="832"/>
      <c r="AK106" s="839">
        <v>11.894900611531886</v>
      </c>
      <c r="AL106" s="833">
        <v>0</v>
      </c>
      <c r="AM106" s="837"/>
      <c r="AN106" s="833">
        <v>11.894900611531886</v>
      </c>
      <c r="AO106" s="833" t="s">
        <v>452</v>
      </c>
      <c r="AP106" s="834"/>
      <c r="AQ106" s="834"/>
      <c r="AR106" s="839">
        <v>6.219094242925868</v>
      </c>
      <c r="AS106" s="833">
        <v>0.23295131670437419</v>
      </c>
      <c r="AT106" s="833">
        <v>5.9861429262214934</v>
      </c>
      <c r="AU106" s="833">
        <v>0</v>
      </c>
      <c r="AV106" s="832"/>
      <c r="AW106" s="839">
        <v>3.5295654046117302</v>
      </c>
      <c r="AX106" s="833">
        <v>0</v>
      </c>
      <c r="AY106" s="837"/>
      <c r="AZ106" s="833">
        <v>3.5295654046117302</v>
      </c>
      <c r="BA106" s="833" t="s">
        <v>452</v>
      </c>
    </row>
    <row r="107" spans="1:53">
      <c r="A107" s="887" t="s">
        <v>1062</v>
      </c>
      <c r="B107" s="887" t="s">
        <v>1062</v>
      </c>
      <c r="C107" s="896">
        <v>0.3</v>
      </c>
      <c r="D107" s="881">
        <v>0.1</v>
      </c>
      <c r="E107" s="881">
        <v>0.19999999999999998</v>
      </c>
      <c r="F107" s="881" t="s">
        <v>452</v>
      </c>
      <c r="G107" s="883"/>
      <c r="H107" s="882" t="s">
        <v>452</v>
      </c>
      <c r="I107" s="881" t="s">
        <v>452</v>
      </c>
      <c r="J107" s="884"/>
      <c r="K107" s="881" t="s">
        <v>452</v>
      </c>
      <c r="L107" s="881" t="s">
        <v>452</v>
      </c>
      <c r="M107" s="885"/>
      <c r="N107" s="885"/>
      <c r="O107" s="882">
        <v>8</v>
      </c>
      <c r="P107" s="881">
        <v>2.8</v>
      </c>
      <c r="Q107" s="881">
        <v>5.2</v>
      </c>
      <c r="R107" s="881" t="s">
        <v>452</v>
      </c>
      <c r="S107" s="883"/>
      <c r="T107" s="882" t="s">
        <v>452</v>
      </c>
      <c r="U107" s="881" t="s">
        <v>452</v>
      </c>
      <c r="V107" s="884"/>
      <c r="W107" s="881" t="s">
        <v>452</v>
      </c>
      <c r="X107" s="881" t="s">
        <v>452</v>
      </c>
      <c r="Z107" s="898"/>
      <c r="AA107" s="479" t="s">
        <v>1296</v>
      </c>
      <c r="AB107" s="514" t="s">
        <v>1273</v>
      </c>
      <c r="AC107" s="717"/>
      <c r="AF107" s="839">
        <v>0.3</v>
      </c>
      <c r="AG107" s="833">
        <v>0.1</v>
      </c>
      <c r="AH107" s="833">
        <v>0.19999999999999998</v>
      </c>
      <c r="AI107" s="833" t="s">
        <v>452</v>
      </c>
      <c r="AJ107" s="832"/>
      <c r="AK107" s="839" t="s">
        <v>452</v>
      </c>
      <c r="AL107" s="833" t="s">
        <v>452</v>
      </c>
      <c r="AM107" s="837"/>
      <c r="AN107" s="833" t="s">
        <v>452</v>
      </c>
      <c r="AO107" s="833" t="s">
        <v>452</v>
      </c>
      <c r="AP107" s="834"/>
      <c r="AQ107" s="834"/>
      <c r="AR107" s="839">
        <v>8</v>
      </c>
      <c r="AS107" s="833">
        <v>2.8</v>
      </c>
      <c r="AT107" s="833">
        <v>5.2</v>
      </c>
      <c r="AU107" s="833" t="s">
        <v>452</v>
      </c>
      <c r="AV107" s="832"/>
      <c r="AW107" s="839" t="s">
        <v>452</v>
      </c>
      <c r="AX107" s="833" t="s">
        <v>452</v>
      </c>
      <c r="AY107" s="837"/>
      <c r="AZ107" s="833" t="s">
        <v>452</v>
      </c>
      <c r="BA107" s="833" t="s">
        <v>452</v>
      </c>
    </row>
    <row r="108" spans="1:53">
      <c r="A108" s="764" t="s">
        <v>92</v>
      </c>
      <c r="B108" s="764" t="s">
        <v>92</v>
      </c>
      <c r="C108" s="896" t="str">
        <f>IF(ISNUMBER(INDEX('Database.Jan 12 to SEC'!$G$6:$G$191, MATCH($A108&amp;"USD bn", 'Database.Jan 12 to SEC'!$AD$6:$AD$191, 0))), INDEX('Database.Jan 12 to SEC'!$G$6:$G$191, MATCH($A108&amp;"USD bn", 'Database.Jan 12 to SEC'!$AD$6:$AD$191, 0)), "")</f>
        <v/>
      </c>
      <c r="D108" s="881" t="str">
        <f>IF(ISNUMBER(INDEX('Database.Jan 12 to SEC'!$H$6:$H$191, MATCH($A108&amp;"USD bn", 'Database.Jan 12 to SEC'!$AD$6:$AD$191, 0))), INDEX('Database.Jan 12 to SEC'!$H$6:$H$191, MATCH($A108&amp;"USD bn", 'Database.Jan 12 to SEC'!$AD$6:$AD$191, 0)), "")</f>
        <v/>
      </c>
      <c r="E108" s="881" t="str">
        <f>IF(ISNUMBER(INDEX('Database.Jan 12 to SEC'!$J$6:$J$191, MATCH($A108&amp;"USD bn", 'Database.Jan 12 to SEC'!$AD$6:$AD$191, 0))), INDEX('Database.Jan 12 to SEC'!$J$6:$J$191, MATCH($A108&amp;"USD bn", 'Database.Jan 12 to SEC'!$AD$6:$AD$191, 0)), "")</f>
        <v/>
      </c>
      <c r="F108" s="881" t="str">
        <f>IF(ISNUMBER(INDEX('Database.Jan 12 to SEC'!$L$6:$L$191, MATCH($A108&amp;"USD bn", 'Database.Jan 12 to SEC'!$AD$6:$AD$191, 0))), INDEX('Database.Jan 12 to SEC'!$L$6:$L$191, MATCH($A108&amp;"USD bn", 'Database.Jan 12 to SEC'!$AD$6:$AD$191, 0)), "")</f>
        <v/>
      </c>
      <c r="G108" s="883"/>
      <c r="H108" s="882" t="str">
        <f>IF(ISNUMBER(INDEX('Database.Jan 12 to SEC'!$P$6:$P$191, MATCH($A108&amp;"USD bn", 'Database.Jan 12 to SEC'!$AD$6:$AD$191, 0))), INDEX('Database.Jan 12 to SEC'!$P$6:$P$191, MATCH($A108&amp;"USD bn", 'Database.Jan 12 to SEC'!$AD$6:$AD$191, 0)), "")</f>
        <v/>
      </c>
      <c r="I108" s="881" t="str">
        <f>IF(ISNUMBER(INDEX('Database.Jan 12 to SEC'!$Q$6:$Q$191, MATCH($A108&amp;"USD bn", 'Database.Jan 12 to SEC'!$AD$6:$AD$191, 0))), INDEX('Database.Jan 12 to SEC'!$Q$6:$Q$191, MATCH($A108&amp;"USD bn", 'Database.Jan 12 to SEC'!$AD$6:$AD$191, 0)), "")</f>
        <v/>
      </c>
      <c r="J108" s="884"/>
      <c r="K108" s="881" t="str">
        <f>IF(ISNUMBER(INDEX('Database.Jan 12 to SEC'!$U$6:$U$191, MATCH($A108&amp;"USD bn", 'Database.Jan 12 to SEC'!$AD$6:$AD$191, 0))), INDEX('Database.Jan 12 to SEC'!$U$6:$U$191, MATCH($A108&amp;"USD bn", 'Database.Jan 12 to SEC'!$AD$6:$AD$191, 0)), "")</f>
        <v/>
      </c>
      <c r="L108" s="881" t="str">
        <f>IF(ISNUMBER(INDEX('Database.Jan 12 to SEC'!$W$6:$W$191, MATCH($A108&amp;"USD bn", 'Database.Jan 12 to SEC'!$AD$6:$AD$191, 0))), INDEX('Database.Jan 12 to SEC'!$W$6:$W$191, MATCH($A108&amp;"USD bn", 'Database.Jan 12 to SEC'!$AD$6:$AD$191, 0)), "")</f>
        <v/>
      </c>
      <c r="M108" s="885"/>
      <c r="N108" s="885"/>
      <c r="O108" s="882" t="str">
        <f>IF(ISNUMBER(INDEX('Database.Jan 12 to SEC'!$G$6:$G$191, MATCH($A108&amp;"% GDP", 'Database.Jan 12 to SEC'!$AD$6:$AD$191, 0))), INDEX('Database.Jan 12 to SEC'!$G$6:$G$191, MATCH($A108&amp;"% GDP", 'Database.Jan 12 to SEC'!$AD$6:$AD$191, 0)), "")</f>
        <v/>
      </c>
      <c r="P108" s="881" t="str">
        <f>IF(ISNUMBER(INDEX('Database.Jan 12 to SEC'!$H$6:$H$191, MATCH($A108&amp;"% GDP", 'Database.Jan 12 to SEC'!$AD$6:$AD$191, 0))), INDEX('Database.Jan 12 to SEC'!$H$6:$H$191, MATCH($A108&amp;"% GDP", 'Database.Jan 12 to SEC'!$AD$6:$AD$191, 0)), "")</f>
        <v/>
      </c>
      <c r="Q108" s="881" t="str">
        <f>IF(ISNUMBER(INDEX('Database.Jan 12 to SEC'!$J$6:$J$191, MATCH($A108&amp;"% GDP", 'Database.Jan 12 to SEC'!$AD$6:$AD$191, 0))), INDEX('Database.Jan 12 to SEC'!$J$6:$J$191, MATCH($A108&amp;"% GDP", 'Database.Jan 12 to SEC'!$AD$6:$AD$191, 0)), "")</f>
        <v/>
      </c>
      <c r="R108" s="881" t="str">
        <f>IF(ISNUMBER(INDEX('Database.Jan 12 to SEC'!$L$6:$L$191, MATCH($A108&amp;"% GDP", 'Database.Jan 12 to SEC'!$AD$6:$AD$191, 0))), INDEX('Database.Jan 12 to SEC'!$L$6:$L$191, MATCH($A108&amp;"% GDP", 'Database.Jan 12 to SEC'!$AD$6:$AD$191, 0)), "")</f>
        <v/>
      </c>
      <c r="S108" s="883"/>
      <c r="T108" s="882" t="str">
        <f>IF(ISNUMBER(INDEX('Database.Jan 12 to SEC'!$P$6:$P$191, MATCH($A108&amp;"% GDP", 'Database.Jan 12 to SEC'!$AD$6:$AD$191, 0))), INDEX('Database.Jan 12 to SEC'!$P$6:$P$191, MATCH($A108&amp;"% GDP", 'Database.Jan 12 to SEC'!$AD$6:$AD$191, 0)), "")</f>
        <v/>
      </c>
      <c r="U108" s="881" t="str">
        <f>IF(ISNUMBER(INDEX('Database.Jan 12 to SEC'!$Q$6:$Q$191, MATCH($A108&amp;"% GDP", 'Database.Jan 12 to SEC'!$AD$6:$AD$191, 0))), INDEX('Database.Jan 12 to SEC'!$Q$6:$Q$191, MATCH($A108&amp;"% GDP", 'Database.Jan 12 to SEC'!$AD$6:$AD$191, 0)), "")</f>
        <v/>
      </c>
      <c r="V108" s="884"/>
      <c r="W108" s="881" t="str">
        <f>IF(ISNUMBER(INDEX('Database.Jan 12 to SEC'!$U$6:$U$191, MATCH($A108&amp;"% GDP", 'Database.Jan 12 to SEC'!$AD$6:$AD$191, 0))), INDEX('Database.Jan 12 to SEC'!$U$6:$U$191, MATCH($A108&amp;"% GDP", 'Database.Jan 12 to SEC'!$AD$6:$AD$191, 0)), "")</f>
        <v/>
      </c>
      <c r="X108" s="881" t="str">
        <f>IF(ISNUMBER(INDEX('Database.Jan 12 to SEC'!$W$6:$W$191, MATCH($A108&amp;"% GDP", 'Database.Jan 12 to SEC'!$AD$6:$AD$191, 0))), INDEX('Database.Jan 12 to SEC'!$W$6:$W$191, MATCH($A108&amp;"% GDP", 'Database.Jan 12 to SEC'!$AD$6:$AD$191, 0)), "")</f>
        <v/>
      </c>
      <c r="Z108" s="898"/>
      <c r="AA108" s="479" t="s">
        <v>1295</v>
      </c>
      <c r="AB108" s="479" t="s">
        <v>1270</v>
      </c>
      <c r="AC108" s="562"/>
      <c r="AF108" s="839">
        <v>0.99880719208951563</v>
      </c>
      <c r="AG108" s="833">
        <v>3.3039423656905105E-2</v>
      </c>
      <c r="AH108" s="833">
        <v>0.96576776843261047</v>
      </c>
      <c r="AI108" s="833" t="s">
        <v>452</v>
      </c>
      <c r="AJ108" s="832"/>
      <c r="AK108" s="839">
        <v>4.0460586509071472</v>
      </c>
      <c r="AL108" s="833">
        <v>0.36089216609850183</v>
      </c>
      <c r="AM108" s="837"/>
      <c r="AN108" s="833" t="s">
        <v>452</v>
      </c>
      <c r="AO108" s="833">
        <v>3.6851664848086458</v>
      </c>
      <c r="AP108" s="834"/>
      <c r="AQ108" s="834"/>
      <c r="AR108" s="839">
        <v>9.1999999999999993</v>
      </c>
      <c r="AS108" s="833">
        <v>0.30432569974554707</v>
      </c>
      <c r="AT108" s="833">
        <v>8.895674300254452</v>
      </c>
      <c r="AU108" s="833" t="s">
        <v>452</v>
      </c>
      <c r="AV108" s="832"/>
      <c r="AW108" s="839">
        <v>37.268193384223913</v>
      </c>
      <c r="AX108" s="833">
        <v>3.3241730279898221</v>
      </c>
      <c r="AY108" s="837"/>
      <c r="AZ108" s="833" t="s">
        <v>452</v>
      </c>
      <c r="BA108" s="833">
        <v>33.944020356234091</v>
      </c>
    </row>
    <row r="109" spans="1:53">
      <c r="A109" s="764" t="s">
        <v>1063</v>
      </c>
      <c r="B109" s="764" t="s">
        <v>1063</v>
      </c>
      <c r="C109" s="896">
        <v>0.08</v>
      </c>
      <c r="D109" s="881">
        <v>0.02</v>
      </c>
      <c r="E109" s="881">
        <v>0.06</v>
      </c>
      <c r="F109" s="881" t="s">
        <v>452</v>
      </c>
      <c r="G109" s="883"/>
      <c r="H109" s="882" t="s">
        <v>452</v>
      </c>
      <c r="I109" s="881" t="s">
        <v>452</v>
      </c>
      <c r="J109" s="884"/>
      <c r="K109" s="881" t="s">
        <v>452</v>
      </c>
      <c r="L109" s="881" t="s">
        <v>452</v>
      </c>
      <c r="M109" s="885"/>
      <c r="N109" s="885"/>
      <c r="O109" s="882">
        <v>19.640369448844972</v>
      </c>
      <c r="P109" s="881">
        <v>4.9100923622112429</v>
      </c>
      <c r="Q109" s="881">
        <v>14.730277086633729</v>
      </c>
      <c r="R109" s="881" t="s">
        <v>452</v>
      </c>
      <c r="S109" s="883"/>
      <c r="T109" s="882" t="s">
        <v>452</v>
      </c>
      <c r="U109" s="881" t="s">
        <v>452</v>
      </c>
      <c r="V109" s="884"/>
      <c r="W109" s="881" t="s">
        <v>452</v>
      </c>
      <c r="X109" s="881" t="s">
        <v>452</v>
      </c>
      <c r="Z109" s="898"/>
      <c r="AA109" s="479" t="s">
        <v>1267</v>
      </c>
      <c r="AC109" s="717"/>
      <c r="AF109" s="839">
        <v>0.08</v>
      </c>
      <c r="AG109" s="833">
        <v>0.02</v>
      </c>
      <c r="AH109" s="833">
        <v>0.06</v>
      </c>
      <c r="AI109" s="833" t="s">
        <v>452</v>
      </c>
      <c r="AJ109" s="832"/>
      <c r="AK109" s="839" t="s">
        <v>452</v>
      </c>
      <c r="AL109" s="833" t="s">
        <v>452</v>
      </c>
      <c r="AM109" s="837"/>
      <c r="AN109" s="833" t="s">
        <v>452</v>
      </c>
      <c r="AO109" s="833" t="s">
        <v>452</v>
      </c>
      <c r="AP109" s="834"/>
      <c r="AQ109" s="834"/>
      <c r="AR109" s="839">
        <v>19.640369448844972</v>
      </c>
      <c r="AS109" s="833">
        <v>4.9100923622112429</v>
      </c>
      <c r="AT109" s="833">
        <v>14.730277086633729</v>
      </c>
      <c r="AU109" s="833" t="s">
        <v>452</v>
      </c>
      <c r="AV109" s="832"/>
      <c r="AW109" s="839" t="s">
        <v>452</v>
      </c>
      <c r="AX109" s="833" t="s">
        <v>452</v>
      </c>
      <c r="AY109" s="837"/>
      <c r="AZ109" s="833" t="s">
        <v>452</v>
      </c>
      <c r="BA109" s="833" t="s">
        <v>452</v>
      </c>
    </row>
    <row r="110" spans="1:53">
      <c r="A110" s="764" t="s">
        <v>25</v>
      </c>
      <c r="B110" s="764" t="s">
        <v>25</v>
      </c>
      <c r="C110" s="896">
        <v>1.6</v>
      </c>
      <c r="D110" s="881">
        <v>0.2</v>
      </c>
      <c r="E110" s="881">
        <v>1.4000000000000001</v>
      </c>
      <c r="F110" s="881" t="s">
        <v>452</v>
      </c>
      <c r="G110" s="883"/>
      <c r="H110" s="882">
        <v>0.9</v>
      </c>
      <c r="I110" s="881">
        <v>0</v>
      </c>
      <c r="J110" s="884"/>
      <c r="K110" s="881">
        <v>0</v>
      </c>
      <c r="L110" s="881">
        <v>0.9</v>
      </c>
      <c r="M110" s="885"/>
      <c r="N110" s="885"/>
      <c r="O110" s="882">
        <v>12</v>
      </c>
      <c r="P110" s="881">
        <v>1.2</v>
      </c>
      <c r="Q110" s="881">
        <v>10.8</v>
      </c>
      <c r="R110" s="881" t="s">
        <v>452</v>
      </c>
      <c r="S110" s="883"/>
      <c r="T110" s="882">
        <v>6.5</v>
      </c>
      <c r="U110" s="881">
        <v>0.3</v>
      </c>
      <c r="V110" s="884"/>
      <c r="W110" s="881">
        <v>0</v>
      </c>
      <c r="X110" s="881">
        <v>6.2</v>
      </c>
      <c r="Z110" s="898"/>
      <c r="AA110" s="479" t="s">
        <v>1267</v>
      </c>
      <c r="AC110" s="717"/>
      <c r="AF110" s="839">
        <v>1.6</v>
      </c>
      <c r="AG110" s="833">
        <v>0.2</v>
      </c>
      <c r="AH110" s="833">
        <v>1.4000000000000001</v>
      </c>
      <c r="AI110" s="833" t="s">
        <v>452</v>
      </c>
      <c r="AJ110" s="832"/>
      <c r="AK110" s="839">
        <v>0.9</v>
      </c>
      <c r="AL110" s="833">
        <v>0</v>
      </c>
      <c r="AM110" s="837"/>
      <c r="AN110" s="833">
        <v>0</v>
      </c>
      <c r="AO110" s="833">
        <v>0.9</v>
      </c>
      <c r="AP110" s="834"/>
      <c r="AQ110" s="834"/>
      <c r="AR110" s="839">
        <v>12</v>
      </c>
      <c r="AS110" s="833">
        <v>1.2</v>
      </c>
      <c r="AT110" s="833">
        <v>10.8</v>
      </c>
      <c r="AU110" s="833" t="s">
        <v>452</v>
      </c>
      <c r="AV110" s="832"/>
      <c r="AW110" s="839">
        <v>6.5</v>
      </c>
      <c r="AX110" s="833">
        <v>0.3</v>
      </c>
      <c r="AY110" s="837"/>
      <c r="AZ110" s="833">
        <v>0</v>
      </c>
      <c r="BA110" s="833">
        <v>6.2</v>
      </c>
    </row>
    <row r="111" spans="1:53">
      <c r="A111" s="764" t="s">
        <v>1064</v>
      </c>
      <c r="B111" s="764" t="s">
        <v>1064</v>
      </c>
      <c r="C111" s="896">
        <v>0.36299999999999999</v>
      </c>
      <c r="D111" s="881">
        <v>1.9E-2</v>
      </c>
      <c r="E111" s="881">
        <v>0.34399999999999997</v>
      </c>
      <c r="F111" s="881">
        <v>0.25108200905797018</v>
      </c>
      <c r="G111" s="883"/>
      <c r="H111" s="882">
        <v>0.26600000000000001</v>
      </c>
      <c r="I111" s="881">
        <v>0.26100000000000001</v>
      </c>
      <c r="J111" s="884"/>
      <c r="K111" s="881" t="s">
        <v>452</v>
      </c>
      <c r="L111" s="881">
        <v>5.0000000000000001E-3</v>
      </c>
      <c r="M111" s="885"/>
      <c r="N111" s="885"/>
      <c r="O111" s="882">
        <v>7.6</v>
      </c>
      <c r="P111" s="881">
        <v>0.4</v>
      </c>
      <c r="Q111" s="881">
        <v>7.1999999999999993</v>
      </c>
      <c r="R111" s="881">
        <v>5.2465847118337194</v>
      </c>
      <c r="S111" s="883"/>
      <c r="T111" s="882">
        <v>5.6</v>
      </c>
      <c r="U111" s="881">
        <v>5.5</v>
      </c>
      <c r="V111" s="884"/>
      <c r="W111" s="881" t="s">
        <v>452</v>
      </c>
      <c r="X111" s="881">
        <v>0.1</v>
      </c>
      <c r="Z111" s="898"/>
      <c r="AA111" s="479" t="s">
        <v>1267</v>
      </c>
      <c r="AC111" s="717"/>
      <c r="AF111" s="839">
        <v>0.36299999999999999</v>
      </c>
      <c r="AG111" s="833">
        <v>1.9E-2</v>
      </c>
      <c r="AH111" s="833">
        <v>0.34399999999999997</v>
      </c>
      <c r="AI111" s="833">
        <v>0.25108200905797018</v>
      </c>
      <c r="AJ111" s="832"/>
      <c r="AK111" s="839">
        <v>0.26600000000000001</v>
      </c>
      <c r="AL111" s="833">
        <v>0.26100000000000001</v>
      </c>
      <c r="AM111" s="837"/>
      <c r="AN111" s="833" t="s">
        <v>452</v>
      </c>
      <c r="AO111" s="833">
        <v>5.0000000000000001E-3</v>
      </c>
      <c r="AP111" s="834"/>
      <c r="AQ111" s="834"/>
      <c r="AR111" s="839">
        <v>7.6</v>
      </c>
      <c r="AS111" s="833">
        <v>0.4</v>
      </c>
      <c r="AT111" s="833">
        <v>7.1999999999999993</v>
      </c>
      <c r="AU111" s="833">
        <v>5.2465847118337194</v>
      </c>
      <c r="AV111" s="832"/>
      <c r="AW111" s="839">
        <v>5.6</v>
      </c>
      <c r="AX111" s="833">
        <v>5.5</v>
      </c>
      <c r="AY111" s="837"/>
      <c r="AZ111" s="833" t="s">
        <v>452</v>
      </c>
      <c r="BA111" s="833">
        <v>0.1</v>
      </c>
    </row>
    <row r="112" spans="1:53" hidden="1">
      <c r="A112" s="764" t="s">
        <v>1065</v>
      </c>
      <c r="B112" s="764" t="s">
        <v>1065</v>
      </c>
      <c r="C112" s="882" t="s">
        <v>452</v>
      </c>
      <c r="D112" s="881" t="s">
        <v>452</v>
      </c>
      <c r="E112" s="881" t="s">
        <v>452</v>
      </c>
      <c r="F112" s="881" t="s">
        <v>452</v>
      </c>
      <c r="G112" s="884"/>
      <c r="H112" s="882" t="s">
        <v>452</v>
      </c>
      <c r="I112" s="881" t="s">
        <v>452</v>
      </c>
      <c r="J112" s="884"/>
      <c r="K112" s="881" t="s">
        <v>452</v>
      </c>
      <c r="L112" s="881" t="s">
        <v>452</v>
      </c>
      <c r="M112" s="885"/>
      <c r="N112" s="885"/>
      <c r="O112" s="882" t="s">
        <v>452</v>
      </c>
      <c r="P112" s="881" t="s">
        <v>452</v>
      </c>
      <c r="Q112" s="881" t="s">
        <v>452</v>
      </c>
      <c r="R112" s="881" t="s">
        <v>452</v>
      </c>
      <c r="S112" s="883"/>
      <c r="T112" s="882" t="s">
        <v>452</v>
      </c>
      <c r="U112" s="881" t="s">
        <v>452</v>
      </c>
      <c r="V112" s="884"/>
      <c r="W112" s="881" t="s">
        <v>452</v>
      </c>
      <c r="X112" s="881" t="s">
        <v>452</v>
      </c>
      <c r="Z112" s="898"/>
      <c r="AA112" s="479" t="s">
        <v>1267</v>
      </c>
      <c r="AC112" s="717"/>
      <c r="AF112" s="839" t="s">
        <v>452</v>
      </c>
      <c r="AG112" s="833" t="s">
        <v>452</v>
      </c>
      <c r="AH112" s="833" t="s">
        <v>452</v>
      </c>
      <c r="AI112" s="833" t="s">
        <v>452</v>
      </c>
      <c r="AJ112" s="832"/>
      <c r="AK112" s="839" t="s">
        <v>452</v>
      </c>
      <c r="AL112" s="833" t="s">
        <v>452</v>
      </c>
      <c r="AM112" s="837"/>
      <c r="AN112" s="833" t="s">
        <v>452</v>
      </c>
      <c r="AO112" s="833" t="s">
        <v>452</v>
      </c>
      <c r="AP112" s="834"/>
      <c r="AQ112" s="834"/>
      <c r="AR112" s="839" t="s">
        <v>452</v>
      </c>
      <c r="AS112" s="833" t="s">
        <v>452</v>
      </c>
      <c r="AT112" s="833" t="s">
        <v>452</v>
      </c>
      <c r="AU112" s="833" t="s">
        <v>452</v>
      </c>
      <c r="AV112" s="832"/>
      <c r="AW112" s="839" t="s">
        <v>452</v>
      </c>
      <c r="AX112" s="833" t="s">
        <v>452</v>
      </c>
      <c r="AY112" s="837"/>
      <c r="AZ112" s="833" t="s">
        <v>452</v>
      </c>
      <c r="BA112" s="833" t="s">
        <v>452</v>
      </c>
    </row>
    <row r="113" spans="1:53">
      <c r="A113" s="764" t="s">
        <v>1066</v>
      </c>
      <c r="B113" s="764" t="s">
        <v>1066</v>
      </c>
      <c r="C113" s="896">
        <f>SUM(D113:E113)</f>
        <v>2.6</v>
      </c>
      <c r="D113" s="881">
        <v>0.2</v>
      </c>
      <c r="E113" s="881">
        <v>2.4</v>
      </c>
      <c r="F113" s="881" t="s">
        <v>452</v>
      </c>
      <c r="G113" s="883"/>
      <c r="H113" s="882">
        <v>7.3</v>
      </c>
      <c r="I113" s="881"/>
      <c r="J113" s="884"/>
      <c r="K113" s="881">
        <v>7.3</v>
      </c>
      <c r="L113" s="881" t="s">
        <v>452</v>
      </c>
      <c r="M113" s="885"/>
      <c r="N113" s="885"/>
      <c r="O113" s="882">
        <f>SUM(P113:Q113)</f>
        <v>2.2999999999999998</v>
      </c>
      <c r="P113" s="881">
        <v>0.3</v>
      </c>
      <c r="Q113" s="881">
        <v>2</v>
      </c>
      <c r="R113" s="881" t="s">
        <v>452</v>
      </c>
      <c r="S113" s="883"/>
      <c r="T113" s="882">
        <v>6.5</v>
      </c>
      <c r="U113" s="881"/>
      <c r="V113" s="884"/>
      <c r="W113" s="881">
        <v>6.5</v>
      </c>
      <c r="X113" s="881" t="s">
        <v>452</v>
      </c>
      <c r="Z113" s="898"/>
      <c r="AB113" s="514" t="s">
        <v>1299</v>
      </c>
      <c r="AC113" s="717"/>
      <c r="AF113" s="839">
        <v>2.9</v>
      </c>
      <c r="AG113" s="833">
        <v>0.33</v>
      </c>
      <c r="AH113" s="833">
        <v>2.57</v>
      </c>
      <c r="AI113" s="833" t="s">
        <v>452</v>
      </c>
      <c r="AJ113" s="832"/>
      <c r="AK113" s="839">
        <v>4.7</v>
      </c>
      <c r="AL113" s="833" t="s">
        <v>452</v>
      </c>
      <c r="AM113" s="837"/>
      <c r="AN113" s="833">
        <v>4.7</v>
      </c>
      <c r="AO113" s="833" t="s">
        <v>452</v>
      </c>
      <c r="AP113" s="834"/>
      <c r="AQ113" s="834"/>
      <c r="AR113" s="839">
        <v>2.4</v>
      </c>
      <c r="AS113" s="833">
        <v>0.28000000000000003</v>
      </c>
      <c r="AT113" s="833">
        <v>2.12</v>
      </c>
      <c r="AU113" s="833" t="s">
        <v>452</v>
      </c>
      <c r="AV113" s="832"/>
      <c r="AW113" s="839">
        <v>3.9</v>
      </c>
      <c r="AX113" s="833" t="s">
        <v>452</v>
      </c>
      <c r="AY113" s="837"/>
      <c r="AZ113" s="833">
        <v>3.9</v>
      </c>
      <c r="BA113" s="833" t="s">
        <v>452</v>
      </c>
    </row>
    <row r="114" spans="1:53">
      <c r="A114" s="764" t="s">
        <v>1067</v>
      </c>
      <c r="B114" s="764" t="s">
        <v>1067</v>
      </c>
      <c r="C114" s="896">
        <v>0.15670633253529151</v>
      </c>
      <c r="D114" s="881">
        <v>4.433938866308635E-2</v>
      </c>
      <c r="E114" s="881">
        <v>0.11236694387220514</v>
      </c>
      <c r="F114" s="881">
        <v>0.23080777660236731</v>
      </c>
      <c r="G114" s="883"/>
      <c r="H114" s="882">
        <v>0.13362555487505476</v>
      </c>
      <c r="I114" s="881" t="s">
        <v>452</v>
      </c>
      <c r="J114" s="884"/>
      <c r="K114" s="881">
        <v>0.13362555487505476</v>
      </c>
      <c r="L114" s="881" t="s">
        <v>452</v>
      </c>
      <c r="M114" s="885"/>
      <c r="N114" s="885"/>
      <c r="O114" s="882">
        <v>1.4570301192452924</v>
      </c>
      <c r="P114" s="881">
        <v>0.41226046009653616</v>
      </c>
      <c r="Q114" s="881">
        <v>1.0447696591487561</v>
      </c>
      <c r="R114" s="881">
        <v>2.1460133539271746</v>
      </c>
      <c r="S114" s="883"/>
      <c r="T114" s="882">
        <v>1.2424287838525747</v>
      </c>
      <c r="U114" s="881" t="s">
        <v>452</v>
      </c>
      <c r="V114" s="884"/>
      <c r="W114" s="881">
        <v>1.2424287838525747</v>
      </c>
      <c r="X114" s="881" t="s">
        <v>452</v>
      </c>
      <c r="Z114" s="898"/>
      <c r="AA114" s="479" t="s">
        <v>1267</v>
      </c>
      <c r="AC114" s="717"/>
      <c r="AF114" s="839">
        <v>0.15670633253529151</v>
      </c>
      <c r="AG114" s="833">
        <v>4.433938866308635E-2</v>
      </c>
      <c r="AH114" s="833">
        <v>0.11236694387220514</v>
      </c>
      <c r="AI114" s="833">
        <v>0.23080777660236731</v>
      </c>
      <c r="AJ114" s="832"/>
      <c r="AK114" s="839">
        <v>0.13362555487505476</v>
      </c>
      <c r="AL114" s="833" t="s">
        <v>452</v>
      </c>
      <c r="AM114" s="837"/>
      <c r="AN114" s="833">
        <v>0.13362555487505476</v>
      </c>
      <c r="AO114" s="833" t="s">
        <v>452</v>
      </c>
      <c r="AP114" s="834"/>
      <c r="AQ114" s="834"/>
      <c r="AR114" s="839">
        <v>1.4570301192452924</v>
      </c>
      <c r="AS114" s="833">
        <v>0.41226046009653616</v>
      </c>
      <c r="AT114" s="833">
        <v>1.0447696591487561</v>
      </c>
      <c r="AU114" s="833">
        <v>2.1460133539271746</v>
      </c>
      <c r="AV114" s="832"/>
      <c r="AW114" s="839">
        <v>1.2424287838525747</v>
      </c>
      <c r="AX114" s="833" t="s">
        <v>452</v>
      </c>
      <c r="AY114" s="837"/>
      <c r="AZ114" s="833">
        <v>1.2424287838525747</v>
      </c>
      <c r="BA114" s="833" t="s">
        <v>452</v>
      </c>
    </row>
    <row r="115" spans="1:53">
      <c r="A115" s="764" t="s">
        <v>1068</v>
      </c>
      <c r="B115" s="764" t="s">
        <v>1068</v>
      </c>
      <c r="C115" s="896">
        <v>9.1548817880607574E-3</v>
      </c>
      <c r="D115" s="881">
        <v>9.1548817880607574E-3</v>
      </c>
      <c r="E115" s="881">
        <v>0</v>
      </c>
      <c r="F115" s="881" t="s">
        <v>452</v>
      </c>
      <c r="G115" s="883"/>
      <c r="H115" s="882" t="s">
        <v>452</v>
      </c>
      <c r="I115" s="881" t="s">
        <v>452</v>
      </c>
      <c r="J115" s="884"/>
      <c r="K115" s="881" t="s">
        <v>452</v>
      </c>
      <c r="L115" s="881" t="s">
        <v>452</v>
      </c>
      <c r="M115" s="885"/>
      <c r="N115" s="885"/>
      <c r="O115" s="882">
        <v>8</v>
      </c>
      <c r="P115" s="881">
        <v>8</v>
      </c>
      <c r="Q115" s="881">
        <v>0</v>
      </c>
      <c r="R115" s="881" t="s">
        <v>452</v>
      </c>
      <c r="S115" s="883"/>
      <c r="T115" s="882" t="s">
        <v>452</v>
      </c>
      <c r="U115" s="881" t="s">
        <v>452</v>
      </c>
      <c r="V115" s="884"/>
      <c r="W115" s="881" t="s">
        <v>452</v>
      </c>
      <c r="X115" s="881" t="s">
        <v>452</v>
      </c>
      <c r="Z115" s="898"/>
      <c r="AA115" s="479" t="s">
        <v>1267</v>
      </c>
      <c r="AC115" s="717"/>
      <c r="AF115" s="839">
        <v>9.1548817880607574E-3</v>
      </c>
      <c r="AG115" s="833">
        <v>9.1548817880607574E-3</v>
      </c>
      <c r="AH115" s="833">
        <v>0</v>
      </c>
      <c r="AI115" s="833" t="s">
        <v>452</v>
      </c>
      <c r="AJ115" s="832"/>
      <c r="AK115" s="839" t="s">
        <v>452</v>
      </c>
      <c r="AL115" s="833" t="s">
        <v>452</v>
      </c>
      <c r="AM115" s="837"/>
      <c r="AN115" s="833" t="s">
        <v>452</v>
      </c>
      <c r="AO115" s="833" t="s">
        <v>452</v>
      </c>
      <c r="AP115" s="834"/>
      <c r="AQ115" s="834"/>
      <c r="AR115" s="839">
        <v>8</v>
      </c>
      <c r="AS115" s="833">
        <v>8</v>
      </c>
      <c r="AT115" s="833">
        <v>0</v>
      </c>
      <c r="AU115" s="833" t="s">
        <v>452</v>
      </c>
      <c r="AV115" s="832"/>
      <c r="AW115" s="839" t="s">
        <v>452</v>
      </c>
      <c r="AX115" s="833" t="s">
        <v>452</v>
      </c>
      <c r="AY115" s="837"/>
      <c r="AZ115" s="833" t="s">
        <v>452</v>
      </c>
      <c r="BA115" s="833" t="s">
        <v>452</v>
      </c>
    </row>
    <row r="116" spans="1:53">
      <c r="A116" s="764" t="s">
        <v>963</v>
      </c>
      <c r="B116" s="764" t="s">
        <v>963</v>
      </c>
      <c r="C116" s="896" t="str">
        <f>IF(ISNUMBER(INDEX('Database.Jan 12 to SEC'!$G$6:$G$191, MATCH($A116&amp;"USD bn", 'Database.Jan 12 to SEC'!$AD$6:$AD$191, 0))), INDEX('Database.Jan 12 to SEC'!$G$6:$G$191, MATCH($A116&amp;"USD bn", 'Database.Jan 12 to SEC'!$AD$6:$AD$191, 0)), "")</f>
        <v/>
      </c>
      <c r="D116" s="881" t="str">
        <f>IF(ISNUMBER(INDEX('Database.Jan 12 to SEC'!$H$6:$H$191, MATCH($A116&amp;"USD bn", 'Database.Jan 12 to SEC'!$AD$6:$AD$191, 0))), INDEX('Database.Jan 12 to SEC'!$H$6:$H$191, MATCH($A116&amp;"USD bn", 'Database.Jan 12 to SEC'!$AD$6:$AD$191, 0)), "")</f>
        <v/>
      </c>
      <c r="E116" s="881" t="str">
        <f>IF(ISNUMBER(INDEX('Database.Jan 12 to SEC'!$J$6:$J$191, MATCH($A116&amp;"USD bn", 'Database.Jan 12 to SEC'!$AD$6:$AD$191, 0))), INDEX('Database.Jan 12 to SEC'!$J$6:$J$191, MATCH($A116&amp;"USD bn", 'Database.Jan 12 to SEC'!$AD$6:$AD$191, 0)), "")</f>
        <v/>
      </c>
      <c r="F116" s="881" t="str">
        <f>IF(ISNUMBER(INDEX('Database.Jan 12 to SEC'!$L$6:$L$191, MATCH($A116&amp;"USD bn", 'Database.Jan 12 to SEC'!$AD$6:$AD$191, 0))), INDEX('Database.Jan 12 to SEC'!$L$6:$L$191, MATCH($A116&amp;"USD bn", 'Database.Jan 12 to SEC'!$AD$6:$AD$191, 0)), "")</f>
        <v/>
      </c>
      <c r="G116" s="883"/>
      <c r="H116" s="882" t="str">
        <f>IF(ISNUMBER(INDEX('Database.Jan 12 to SEC'!$P$6:$P$191, MATCH($A116&amp;"USD bn", 'Database.Jan 12 to SEC'!$AD$6:$AD$191, 0))), INDEX('Database.Jan 12 to SEC'!$P$6:$P$191, MATCH($A116&amp;"USD bn", 'Database.Jan 12 to SEC'!$AD$6:$AD$191, 0)), "")</f>
        <v/>
      </c>
      <c r="I116" s="881" t="str">
        <f>IF(ISNUMBER(INDEX('Database.Jan 12 to SEC'!$Q$6:$Q$191, MATCH($A116&amp;"USD bn", 'Database.Jan 12 to SEC'!$AD$6:$AD$191, 0))), INDEX('Database.Jan 12 to SEC'!$Q$6:$Q$191, MATCH($A116&amp;"USD bn", 'Database.Jan 12 to SEC'!$AD$6:$AD$191, 0)), "")</f>
        <v/>
      </c>
      <c r="J116" s="884"/>
      <c r="K116" s="881" t="str">
        <f>IF(ISNUMBER(INDEX('Database.Jan 12 to SEC'!$U$6:$U$191, MATCH($A116&amp;"USD bn", 'Database.Jan 12 to SEC'!$AD$6:$AD$191, 0))), INDEX('Database.Jan 12 to SEC'!$U$6:$U$191, MATCH($A116&amp;"USD bn", 'Database.Jan 12 to SEC'!$AD$6:$AD$191, 0)), "")</f>
        <v/>
      </c>
      <c r="L116" s="881" t="str">
        <f>IF(ISNUMBER(INDEX('Database.Jan 12 to SEC'!$W$6:$W$191, MATCH($A116&amp;"USD bn", 'Database.Jan 12 to SEC'!$AD$6:$AD$191, 0))), INDEX('Database.Jan 12 to SEC'!$W$6:$W$191, MATCH($A116&amp;"USD bn", 'Database.Jan 12 to SEC'!$AD$6:$AD$191, 0)), "")</f>
        <v/>
      </c>
      <c r="M116" s="885"/>
      <c r="N116" s="885"/>
      <c r="O116" s="882" t="str">
        <f>IF(ISNUMBER(INDEX('Database.Jan 12 to SEC'!$G$6:$G$191, MATCH($A116&amp;"% GDP", 'Database.Jan 12 to SEC'!$AD$6:$AD$191, 0))), INDEX('Database.Jan 12 to SEC'!$G$6:$G$191, MATCH($A116&amp;"% GDP", 'Database.Jan 12 to SEC'!$AD$6:$AD$191, 0)), "")</f>
        <v/>
      </c>
      <c r="P116" s="881" t="str">
        <f>IF(ISNUMBER(INDEX('Database.Jan 12 to SEC'!$H$6:$H$191, MATCH($A116&amp;"% GDP", 'Database.Jan 12 to SEC'!$AD$6:$AD$191, 0))), INDEX('Database.Jan 12 to SEC'!$H$6:$H$191, MATCH($A116&amp;"% GDP", 'Database.Jan 12 to SEC'!$AD$6:$AD$191, 0)), "")</f>
        <v/>
      </c>
      <c r="Q116" s="881" t="str">
        <f>IF(ISNUMBER(INDEX('Database.Jan 12 to SEC'!$J$6:$J$191, MATCH($A116&amp;"% GDP", 'Database.Jan 12 to SEC'!$AD$6:$AD$191, 0))), INDEX('Database.Jan 12 to SEC'!$J$6:$J$191, MATCH($A116&amp;"% GDP", 'Database.Jan 12 to SEC'!$AD$6:$AD$191, 0)), "")</f>
        <v/>
      </c>
      <c r="R116" s="881" t="str">
        <f>IF(ISNUMBER(INDEX('Database.Jan 12 to SEC'!$L$6:$L$191, MATCH($A116&amp;"% GDP", 'Database.Jan 12 to SEC'!$AD$6:$AD$191, 0))), INDEX('Database.Jan 12 to SEC'!$L$6:$L$191, MATCH($A116&amp;"% GDP", 'Database.Jan 12 to SEC'!$AD$6:$AD$191, 0)), "")</f>
        <v/>
      </c>
      <c r="S116" s="883"/>
      <c r="T116" s="882" t="str">
        <f>IF(ISNUMBER(INDEX('Database.Jan 12 to SEC'!$P$6:$P$191, MATCH($A116&amp;"% GDP", 'Database.Jan 12 to SEC'!$AD$6:$AD$191, 0))), INDEX('Database.Jan 12 to SEC'!$P$6:$P$191, MATCH($A116&amp;"% GDP", 'Database.Jan 12 to SEC'!$AD$6:$AD$191, 0)), "")</f>
        <v/>
      </c>
      <c r="U116" s="881" t="str">
        <f>IF(ISNUMBER(INDEX('Database.Jan 12 to SEC'!$Q$6:$Q$191, MATCH($A116&amp;"% GDP", 'Database.Jan 12 to SEC'!$AD$6:$AD$191, 0))), INDEX('Database.Jan 12 to SEC'!$Q$6:$Q$191, MATCH($A116&amp;"% GDP", 'Database.Jan 12 to SEC'!$AD$6:$AD$191, 0)), "")</f>
        <v/>
      </c>
      <c r="V116" s="884"/>
      <c r="W116" s="881" t="str">
        <f>IF(ISNUMBER(INDEX('Database.Jan 12 to SEC'!$U$6:$U$191, MATCH($A116&amp;"% GDP", 'Database.Jan 12 to SEC'!$AD$6:$AD$191, 0))), INDEX('Database.Jan 12 to SEC'!$U$6:$U$191, MATCH($A116&amp;"% GDP", 'Database.Jan 12 to SEC'!$AD$6:$AD$191, 0)), "")</f>
        <v/>
      </c>
      <c r="X116" s="881" t="str">
        <f>IF(ISNUMBER(INDEX('Database.Jan 12 to SEC'!$W$6:$W$191, MATCH($A116&amp;"% GDP", 'Database.Jan 12 to SEC'!$AD$6:$AD$191, 0))), INDEX('Database.Jan 12 to SEC'!$W$6:$W$191, MATCH($A116&amp;"% GDP", 'Database.Jan 12 to SEC'!$AD$6:$AD$191, 0)), "")</f>
        <v/>
      </c>
      <c r="Z116" s="898"/>
      <c r="AA116" s="479" t="s">
        <v>1265</v>
      </c>
      <c r="AB116" s="479" t="s">
        <v>1282</v>
      </c>
      <c r="AC116" s="717"/>
      <c r="AF116" s="839" t="s">
        <v>452</v>
      </c>
      <c r="AG116" s="833" t="s">
        <v>452</v>
      </c>
      <c r="AH116" s="833" t="s">
        <v>452</v>
      </c>
      <c r="AI116" s="833" t="s">
        <v>452</v>
      </c>
      <c r="AJ116" s="832"/>
      <c r="AK116" s="839" t="e">
        <v>#N/A</v>
      </c>
      <c r="AL116" s="833" t="s">
        <v>452</v>
      </c>
      <c r="AM116" s="837"/>
      <c r="AN116" s="833" t="s">
        <v>452</v>
      </c>
      <c r="AO116" s="833" t="s">
        <v>452</v>
      </c>
      <c r="AP116" s="834"/>
      <c r="AQ116" s="834"/>
      <c r="AR116" s="839" t="s">
        <v>452</v>
      </c>
      <c r="AS116" s="833" t="s">
        <v>452</v>
      </c>
      <c r="AT116" s="833" t="s">
        <v>452</v>
      </c>
      <c r="AU116" s="833" t="s">
        <v>452</v>
      </c>
      <c r="AV116" s="832"/>
      <c r="AW116" s="839" t="e">
        <v>#N/A</v>
      </c>
      <c r="AX116" s="833" t="s">
        <v>452</v>
      </c>
      <c r="AY116" s="837"/>
      <c r="AZ116" s="833" t="s">
        <v>452</v>
      </c>
      <c r="BA116" s="833" t="s">
        <v>452</v>
      </c>
    </row>
    <row r="117" spans="1:53">
      <c r="A117" s="764" t="s">
        <v>1070</v>
      </c>
      <c r="B117" s="764" t="s">
        <v>1070</v>
      </c>
      <c r="C117" s="896">
        <v>0.44</v>
      </c>
      <c r="D117" s="881">
        <v>0</v>
      </c>
      <c r="E117" s="881">
        <v>0.44</v>
      </c>
      <c r="F117" s="881" t="s">
        <v>452</v>
      </c>
      <c r="G117" s="883"/>
      <c r="H117" s="882">
        <v>5.0663198959687905E-2</v>
      </c>
      <c r="I117" s="881" t="s">
        <v>452</v>
      </c>
      <c r="J117" s="884"/>
      <c r="K117" s="881" t="s">
        <v>452</v>
      </c>
      <c r="L117" s="881">
        <v>5.0663198959687905E-2</v>
      </c>
      <c r="M117" s="885"/>
      <c r="N117" s="885"/>
      <c r="O117" s="882">
        <v>0.6</v>
      </c>
      <c r="P117" s="881">
        <v>0</v>
      </c>
      <c r="Q117" s="881">
        <v>0.6</v>
      </c>
      <c r="R117" s="881" t="s">
        <v>452</v>
      </c>
      <c r="S117" s="883"/>
      <c r="T117" s="882" t="s">
        <v>452</v>
      </c>
      <c r="U117" s="881" t="s">
        <v>452</v>
      </c>
      <c r="V117" s="884"/>
      <c r="W117" s="881">
        <v>0</v>
      </c>
      <c r="X117" s="881" t="s">
        <v>452</v>
      </c>
      <c r="Z117" s="898"/>
      <c r="AA117" s="479" t="s">
        <v>1267</v>
      </c>
      <c r="AC117" s="717"/>
      <c r="AF117" s="839">
        <v>0.44</v>
      </c>
      <c r="AG117" s="833">
        <v>0</v>
      </c>
      <c r="AH117" s="833">
        <v>0.44</v>
      </c>
      <c r="AI117" s="833" t="s">
        <v>452</v>
      </c>
      <c r="AJ117" s="832"/>
      <c r="AK117" s="839">
        <v>5.0663198959687905E-2</v>
      </c>
      <c r="AL117" s="833" t="s">
        <v>452</v>
      </c>
      <c r="AM117" s="837"/>
      <c r="AN117" s="833" t="s">
        <v>452</v>
      </c>
      <c r="AO117" s="833">
        <v>5.0663198959687905E-2</v>
      </c>
      <c r="AP117" s="834"/>
      <c r="AQ117" s="834"/>
      <c r="AR117" s="839">
        <v>0.6</v>
      </c>
      <c r="AS117" s="833">
        <v>0</v>
      </c>
      <c r="AT117" s="833">
        <v>0.6</v>
      </c>
      <c r="AU117" s="833" t="s">
        <v>452</v>
      </c>
      <c r="AV117" s="832"/>
      <c r="AW117" s="839" t="s">
        <v>452</v>
      </c>
      <c r="AX117" s="833" t="s">
        <v>452</v>
      </c>
      <c r="AY117" s="837"/>
      <c r="AZ117" s="833">
        <v>0</v>
      </c>
      <c r="BA117" s="833" t="s">
        <v>452</v>
      </c>
    </row>
    <row r="118" spans="1:53">
      <c r="A118" s="764" t="s">
        <v>554</v>
      </c>
      <c r="B118" s="764" t="s">
        <v>554</v>
      </c>
      <c r="C118" s="896" t="str">
        <f>IF(ISNUMBER(INDEX('Database.Jan 12 to SEC'!$G$6:$G$191, MATCH($A118&amp;"USD bn", 'Database.Jan 12 to SEC'!$AD$6:$AD$191, 0))), INDEX('Database.Jan 12 to SEC'!$G$6:$G$191, MATCH($A118&amp;"USD bn", 'Database.Jan 12 to SEC'!$AD$6:$AD$191, 0)), "")</f>
        <v/>
      </c>
      <c r="D118" s="881" t="str">
        <f>IF(ISNUMBER(INDEX('Database.Jan 12 to SEC'!$H$6:$H$191, MATCH($A118&amp;"USD bn", 'Database.Jan 12 to SEC'!$AD$6:$AD$191, 0))), INDEX('Database.Jan 12 to SEC'!$H$6:$H$191, MATCH($A118&amp;"USD bn", 'Database.Jan 12 to SEC'!$AD$6:$AD$191, 0)), "")</f>
        <v/>
      </c>
      <c r="E118" s="881" t="str">
        <f>IF(ISNUMBER(INDEX('Database.Jan 12 to SEC'!$J$6:$J$191, MATCH($A118&amp;"USD bn", 'Database.Jan 12 to SEC'!$AD$6:$AD$191, 0))), INDEX('Database.Jan 12 to SEC'!$J$6:$J$191, MATCH($A118&amp;"USD bn", 'Database.Jan 12 to SEC'!$AD$6:$AD$191, 0)), "")</f>
        <v/>
      </c>
      <c r="F118" s="881" t="str">
        <f>IF(ISNUMBER(INDEX('Database.Jan 12 to SEC'!$L$6:$L$191, MATCH($A118&amp;"USD bn", 'Database.Jan 12 to SEC'!$AD$6:$AD$191, 0))), INDEX('Database.Jan 12 to SEC'!$L$6:$L$191, MATCH($A118&amp;"USD bn", 'Database.Jan 12 to SEC'!$AD$6:$AD$191, 0)), "")</f>
        <v/>
      </c>
      <c r="G118" s="883"/>
      <c r="H118" s="882" t="str">
        <f>IF(ISNUMBER(INDEX('Database.Jan 12 to SEC'!$P$6:$P$191, MATCH($A118&amp;"USD bn", 'Database.Jan 12 to SEC'!$AD$6:$AD$191, 0))), INDEX('Database.Jan 12 to SEC'!$P$6:$P$191, MATCH($A118&amp;"USD bn", 'Database.Jan 12 to SEC'!$AD$6:$AD$191, 0)), "")</f>
        <v/>
      </c>
      <c r="I118" s="881" t="str">
        <f>IF(ISNUMBER(INDEX('Database.Jan 12 to SEC'!$Q$6:$Q$191, MATCH($A118&amp;"USD bn", 'Database.Jan 12 to SEC'!$AD$6:$AD$191, 0))), INDEX('Database.Jan 12 to SEC'!$Q$6:$Q$191, MATCH($A118&amp;"USD bn", 'Database.Jan 12 to SEC'!$AD$6:$AD$191, 0)), "")</f>
        <v/>
      </c>
      <c r="J118" s="884"/>
      <c r="K118" s="881" t="str">
        <f>IF(ISNUMBER(INDEX('Database.Jan 12 to SEC'!$U$6:$U$191, MATCH($A118&amp;"USD bn", 'Database.Jan 12 to SEC'!$AD$6:$AD$191, 0))), INDEX('Database.Jan 12 to SEC'!$U$6:$U$191, MATCH($A118&amp;"USD bn", 'Database.Jan 12 to SEC'!$AD$6:$AD$191, 0)), "")</f>
        <v/>
      </c>
      <c r="L118" s="881" t="str">
        <f>IF(ISNUMBER(INDEX('Database.Jan 12 to SEC'!$W$6:$W$191, MATCH($A118&amp;"USD bn", 'Database.Jan 12 to SEC'!$AD$6:$AD$191, 0))), INDEX('Database.Jan 12 to SEC'!$W$6:$W$191, MATCH($A118&amp;"USD bn", 'Database.Jan 12 to SEC'!$AD$6:$AD$191, 0)), "")</f>
        <v/>
      </c>
      <c r="M118" s="885"/>
      <c r="N118" s="885"/>
      <c r="O118" s="882" t="str">
        <f>IF(ISNUMBER(INDEX('Database.Jan 12 to SEC'!$G$6:$G$191, MATCH($A118&amp;"% GDP", 'Database.Jan 12 to SEC'!$AD$6:$AD$191, 0))), INDEX('Database.Jan 12 to SEC'!$G$6:$G$191, MATCH($A118&amp;"% GDP", 'Database.Jan 12 to SEC'!$AD$6:$AD$191, 0)), "")</f>
        <v/>
      </c>
      <c r="P118" s="881" t="str">
        <f>IF(ISNUMBER(INDEX('Database.Jan 12 to SEC'!$H$6:$H$191, MATCH($A118&amp;"% GDP", 'Database.Jan 12 to SEC'!$AD$6:$AD$191, 0))), INDEX('Database.Jan 12 to SEC'!$H$6:$H$191, MATCH($A118&amp;"% GDP", 'Database.Jan 12 to SEC'!$AD$6:$AD$191, 0)), "")</f>
        <v/>
      </c>
      <c r="Q118" s="881" t="str">
        <f>IF(ISNUMBER(INDEX('Database.Jan 12 to SEC'!$J$6:$J$191, MATCH($A118&amp;"% GDP", 'Database.Jan 12 to SEC'!$AD$6:$AD$191, 0))), INDEX('Database.Jan 12 to SEC'!$J$6:$J$191, MATCH($A118&amp;"% GDP", 'Database.Jan 12 to SEC'!$AD$6:$AD$191, 0)), "")</f>
        <v/>
      </c>
      <c r="R118" s="881" t="str">
        <f>IF(ISNUMBER(INDEX('Database.Jan 12 to SEC'!$L$6:$L$191, MATCH($A118&amp;"% GDP", 'Database.Jan 12 to SEC'!$AD$6:$AD$191, 0))), INDEX('Database.Jan 12 to SEC'!$L$6:$L$191, MATCH($A118&amp;"% GDP", 'Database.Jan 12 to SEC'!$AD$6:$AD$191, 0)), "")</f>
        <v/>
      </c>
      <c r="S118" s="883"/>
      <c r="T118" s="882" t="str">
        <f>IF(ISNUMBER(INDEX('Database.Jan 12 to SEC'!$P$6:$P$191, MATCH($A118&amp;"% GDP", 'Database.Jan 12 to SEC'!$AD$6:$AD$191, 0))), INDEX('Database.Jan 12 to SEC'!$P$6:$P$191, MATCH($A118&amp;"% GDP", 'Database.Jan 12 to SEC'!$AD$6:$AD$191, 0)), "")</f>
        <v/>
      </c>
      <c r="U118" s="881" t="str">
        <f>IF(ISNUMBER(INDEX('Database.Jan 12 to SEC'!$Q$6:$Q$191, MATCH($A118&amp;"% GDP", 'Database.Jan 12 to SEC'!$AD$6:$AD$191, 0))), INDEX('Database.Jan 12 to SEC'!$Q$6:$Q$191, MATCH($A118&amp;"% GDP", 'Database.Jan 12 to SEC'!$AD$6:$AD$191, 0)), "")</f>
        <v/>
      </c>
      <c r="V118" s="884"/>
      <c r="W118" s="881" t="str">
        <f>IF(ISNUMBER(INDEX('Database.Jan 12 to SEC'!$U$6:$U$191, MATCH($A118&amp;"% GDP", 'Database.Jan 12 to SEC'!$AD$6:$AD$191, 0))), INDEX('Database.Jan 12 to SEC'!$U$6:$U$191, MATCH($A118&amp;"% GDP", 'Database.Jan 12 to SEC'!$AD$6:$AD$191, 0)), "")</f>
        <v/>
      </c>
      <c r="X118" s="881" t="str">
        <f>IF(ISNUMBER(INDEX('Database.Jan 12 to SEC'!$W$6:$W$191, MATCH($A118&amp;"% GDP", 'Database.Jan 12 to SEC'!$AD$6:$AD$191, 0))), INDEX('Database.Jan 12 to SEC'!$W$6:$W$191, MATCH($A118&amp;"% GDP", 'Database.Jan 12 to SEC'!$AD$6:$AD$191, 0)), "")</f>
        <v/>
      </c>
      <c r="Z118" s="898"/>
      <c r="AA118" s="479" t="s">
        <v>1267</v>
      </c>
      <c r="AC118" s="562"/>
      <c r="AF118" s="839">
        <v>5.2148375564455147</v>
      </c>
      <c r="AG118" s="833">
        <v>1.1210641123759681</v>
      </c>
      <c r="AH118" s="833">
        <v>4.0937734440695461</v>
      </c>
      <c r="AI118" s="833">
        <v>3.0230942356205883</v>
      </c>
      <c r="AJ118" s="832"/>
      <c r="AK118" s="839" t="s">
        <v>452</v>
      </c>
      <c r="AL118" s="833" t="s">
        <v>452</v>
      </c>
      <c r="AM118" s="837"/>
      <c r="AN118" s="833" t="s">
        <v>452</v>
      </c>
      <c r="AO118" s="833" t="s">
        <v>452</v>
      </c>
      <c r="AP118" s="834"/>
      <c r="AQ118" s="834"/>
      <c r="AR118" s="839">
        <v>1.9924764282578782</v>
      </c>
      <c r="AS118" s="833">
        <v>0.42833430462548588</v>
      </c>
      <c r="AT118" s="833">
        <v>1.5641421236323922</v>
      </c>
      <c r="AU118" s="833">
        <v>1.1550587989900742</v>
      </c>
      <c r="AV118" s="832"/>
      <c r="AW118" s="839" t="s">
        <v>452</v>
      </c>
      <c r="AX118" s="833" t="s">
        <v>452</v>
      </c>
      <c r="AY118" s="837"/>
      <c r="AZ118" s="833" t="s">
        <v>452</v>
      </c>
      <c r="BA118" s="833" t="s">
        <v>452</v>
      </c>
    </row>
    <row r="119" spans="1:53">
      <c r="A119" s="764" t="s">
        <v>1071</v>
      </c>
      <c r="B119" s="764" t="s">
        <v>1071</v>
      </c>
      <c r="C119" s="896">
        <v>0.02</v>
      </c>
      <c r="D119" s="881">
        <v>0</v>
      </c>
      <c r="E119" s="881">
        <v>0.02</v>
      </c>
      <c r="F119" s="881" t="s">
        <v>452</v>
      </c>
      <c r="G119" s="883"/>
      <c r="H119" s="882" t="s">
        <v>452</v>
      </c>
      <c r="I119" s="881" t="s">
        <v>452</v>
      </c>
      <c r="J119" s="884"/>
      <c r="K119" s="881" t="s">
        <v>452</v>
      </c>
      <c r="L119" s="881" t="s">
        <v>452</v>
      </c>
      <c r="M119" s="885"/>
      <c r="N119" s="885"/>
      <c r="O119" s="882">
        <v>8.1</v>
      </c>
      <c r="P119" s="881">
        <v>0.4</v>
      </c>
      <c r="Q119" s="881">
        <v>7.6999999999999993</v>
      </c>
      <c r="R119" s="881" t="s">
        <v>452</v>
      </c>
      <c r="S119" s="883"/>
      <c r="T119" s="882" t="s">
        <v>452</v>
      </c>
      <c r="U119" s="881" t="s">
        <v>452</v>
      </c>
      <c r="V119" s="884"/>
      <c r="W119" s="881" t="s">
        <v>452</v>
      </c>
      <c r="X119" s="881" t="s">
        <v>452</v>
      </c>
      <c r="Z119" s="898"/>
      <c r="AA119" s="479" t="s">
        <v>1267</v>
      </c>
      <c r="AC119" s="717"/>
      <c r="AF119" s="839">
        <v>0.02</v>
      </c>
      <c r="AG119" s="833">
        <v>0</v>
      </c>
      <c r="AH119" s="833">
        <v>0.02</v>
      </c>
      <c r="AI119" s="833" t="s">
        <v>452</v>
      </c>
      <c r="AJ119" s="832"/>
      <c r="AK119" s="839" t="s">
        <v>452</v>
      </c>
      <c r="AL119" s="833" t="s">
        <v>452</v>
      </c>
      <c r="AM119" s="837"/>
      <c r="AN119" s="833" t="s">
        <v>452</v>
      </c>
      <c r="AO119" s="833" t="s">
        <v>452</v>
      </c>
      <c r="AP119" s="834"/>
      <c r="AQ119" s="834"/>
      <c r="AR119" s="839">
        <v>8.1</v>
      </c>
      <c r="AS119" s="833">
        <v>0.4</v>
      </c>
      <c r="AT119" s="833">
        <v>7.6999999999999993</v>
      </c>
      <c r="AU119" s="833" t="s">
        <v>452</v>
      </c>
      <c r="AV119" s="832"/>
      <c r="AW119" s="839" t="s">
        <v>452</v>
      </c>
      <c r="AX119" s="833" t="s">
        <v>452</v>
      </c>
      <c r="AY119" s="837"/>
      <c r="AZ119" s="833" t="s">
        <v>452</v>
      </c>
      <c r="BA119" s="833" t="s">
        <v>452</v>
      </c>
    </row>
    <row r="120" spans="1:53">
      <c r="A120" s="764" t="s">
        <v>1072</v>
      </c>
      <c r="B120" s="764" t="s">
        <v>1072</v>
      </c>
      <c r="C120" s="896">
        <v>1.8</v>
      </c>
      <c r="D120" s="881">
        <v>0.9</v>
      </c>
      <c r="E120" s="881">
        <v>0.9</v>
      </c>
      <c r="F120" s="881" t="s">
        <v>452</v>
      </c>
      <c r="G120" s="883"/>
      <c r="H120" s="882" t="s">
        <v>452</v>
      </c>
      <c r="I120" s="881" t="s">
        <v>452</v>
      </c>
      <c r="J120" s="884"/>
      <c r="K120" s="881" t="s">
        <v>452</v>
      </c>
      <c r="L120" s="881" t="s">
        <v>452</v>
      </c>
      <c r="M120" s="885"/>
      <c r="N120" s="885"/>
      <c r="O120" s="882">
        <v>3.400199242135908</v>
      </c>
      <c r="P120" s="881">
        <v>1.700099621067954</v>
      </c>
      <c r="Q120" s="881">
        <v>1.700099621067954</v>
      </c>
      <c r="R120" s="881" t="s">
        <v>452</v>
      </c>
      <c r="S120" s="883"/>
      <c r="T120" s="882" t="s">
        <v>452</v>
      </c>
      <c r="U120" s="881" t="s">
        <v>452</v>
      </c>
      <c r="V120" s="884"/>
      <c r="W120" s="881" t="s">
        <v>452</v>
      </c>
      <c r="X120" s="881" t="s">
        <v>452</v>
      </c>
      <c r="Z120" s="898"/>
      <c r="AA120" s="479" t="s">
        <v>1267</v>
      </c>
      <c r="AC120" s="717"/>
      <c r="AF120" s="839">
        <v>1.8</v>
      </c>
      <c r="AG120" s="833">
        <v>0.9</v>
      </c>
      <c r="AH120" s="833">
        <v>0.9</v>
      </c>
      <c r="AI120" s="833" t="s">
        <v>452</v>
      </c>
      <c r="AJ120" s="832"/>
      <c r="AK120" s="839" t="s">
        <v>452</v>
      </c>
      <c r="AL120" s="833" t="s">
        <v>452</v>
      </c>
      <c r="AM120" s="837"/>
      <c r="AN120" s="833" t="s">
        <v>452</v>
      </c>
      <c r="AO120" s="833" t="s">
        <v>452</v>
      </c>
      <c r="AP120" s="834"/>
      <c r="AQ120" s="834"/>
      <c r="AR120" s="839">
        <v>3.400199242135908</v>
      </c>
      <c r="AS120" s="833">
        <v>1.700099621067954</v>
      </c>
      <c r="AT120" s="833">
        <v>1.700099621067954</v>
      </c>
      <c r="AU120" s="833" t="s">
        <v>452</v>
      </c>
      <c r="AV120" s="832"/>
      <c r="AW120" s="839" t="s">
        <v>452</v>
      </c>
      <c r="AX120" s="833" t="s">
        <v>452</v>
      </c>
      <c r="AY120" s="837"/>
      <c r="AZ120" s="833" t="s">
        <v>452</v>
      </c>
      <c r="BA120" s="833" t="s">
        <v>452</v>
      </c>
    </row>
    <row r="121" spans="1:53">
      <c r="A121" s="764" t="s">
        <v>1073</v>
      </c>
      <c r="B121" s="764" t="s">
        <v>1073</v>
      </c>
      <c r="C121" s="896">
        <v>1.6850000000000001</v>
      </c>
      <c r="D121" s="881">
        <v>0.73499999999999999</v>
      </c>
      <c r="E121" s="881">
        <v>0.95000000000000007</v>
      </c>
      <c r="F121" s="881" t="s">
        <v>452</v>
      </c>
      <c r="G121" s="883"/>
      <c r="H121" s="882">
        <v>0.1</v>
      </c>
      <c r="I121" s="881">
        <v>0</v>
      </c>
      <c r="J121" s="884"/>
      <c r="K121" s="881">
        <v>0.1</v>
      </c>
      <c r="L121" s="881" t="s">
        <v>452</v>
      </c>
      <c r="M121" s="885"/>
      <c r="N121" s="885"/>
      <c r="O121" s="882">
        <v>4.7238176735180701</v>
      </c>
      <c r="P121" s="881">
        <v>2.0605376795464578</v>
      </c>
      <c r="Q121" s="881">
        <v>2.6632799939716123</v>
      </c>
      <c r="R121" s="881" t="s">
        <v>452</v>
      </c>
      <c r="S121" s="883"/>
      <c r="T121" s="882">
        <v>0.28034526252332764</v>
      </c>
      <c r="U121" s="881">
        <v>0</v>
      </c>
      <c r="V121" s="884"/>
      <c r="W121" s="881">
        <v>0.28034526252332764</v>
      </c>
      <c r="X121" s="881" t="s">
        <v>452</v>
      </c>
      <c r="Z121" s="898"/>
      <c r="AA121" s="479" t="s">
        <v>1267</v>
      </c>
      <c r="AC121" s="717"/>
      <c r="AF121" s="839">
        <v>1.6850000000000001</v>
      </c>
      <c r="AG121" s="833">
        <v>0.73499999999999999</v>
      </c>
      <c r="AH121" s="833">
        <v>0.95000000000000007</v>
      </c>
      <c r="AI121" s="833" t="s">
        <v>452</v>
      </c>
      <c r="AJ121" s="832"/>
      <c r="AK121" s="839">
        <v>0.1</v>
      </c>
      <c r="AL121" s="833">
        <v>0</v>
      </c>
      <c r="AM121" s="837"/>
      <c r="AN121" s="833">
        <v>0.1</v>
      </c>
      <c r="AO121" s="833" t="s">
        <v>452</v>
      </c>
      <c r="AP121" s="834"/>
      <c r="AQ121" s="834"/>
      <c r="AR121" s="839">
        <v>4.7238176735180701</v>
      </c>
      <c r="AS121" s="833">
        <v>2.0605376795464578</v>
      </c>
      <c r="AT121" s="833">
        <v>2.6632799939716123</v>
      </c>
      <c r="AU121" s="833" t="s">
        <v>452</v>
      </c>
      <c r="AV121" s="832"/>
      <c r="AW121" s="839">
        <v>0.28034526252332764</v>
      </c>
      <c r="AX121" s="833">
        <v>0</v>
      </c>
      <c r="AY121" s="837"/>
      <c r="AZ121" s="833">
        <v>0.28034526252332764</v>
      </c>
      <c r="BA121" s="833" t="s">
        <v>452</v>
      </c>
    </row>
    <row r="122" spans="1:53">
      <c r="A122" s="764" t="s">
        <v>555</v>
      </c>
      <c r="B122" s="764" t="s">
        <v>555</v>
      </c>
      <c r="C122" s="896" t="str">
        <f>IF(ISNUMBER(INDEX('Database.Jan 12 to SEC'!$G$6:$G$191, MATCH($A122&amp;"USD bn", 'Database.Jan 12 to SEC'!$AD$6:$AD$191, 0))), INDEX('Database.Jan 12 to SEC'!$G$6:$G$191, MATCH($A122&amp;"USD bn", 'Database.Jan 12 to SEC'!$AD$6:$AD$191, 0)), "")</f>
        <v/>
      </c>
      <c r="D122" s="881" t="str">
        <f>IF(ISNUMBER(INDEX('Database.Jan 12 to SEC'!$H$6:$H$191, MATCH($A122&amp;"USD bn", 'Database.Jan 12 to SEC'!$AD$6:$AD$191, 0))), INDEX('Database.Jan 12 to SEC'!$H$6:$H$191, MATCH($A122&amp;"USD bn", 'Database.Jan 12 to SEC'!$AD$6:$AD$191, 0)), "")</f>
        <v/>
      </c>
      <c r="E122" s="881" t="str">
        <f>IF(ISNUMBER(INDEX('Database.Jan 12 to SEC'!$J$6:$J$191, MATCH($A122&amp;"USD bn", 'Database.Jan 12 to SEC'!$AD$6:$AD$191, 0))), INDEX('Database.Jan 12 to SEC'!$J$6:$J$191, MATCH($A122&amp;"USD bn", 'Database.Jan 12 to SEC'!$AD$6:$AD$191, 0)), "")</f>
        <v/>
      </c>
      <c r="F122" s="881" t="str">
        <f>IF(ISNUMBER(INDEX('Database.Jan 12 to SEC'!$L$6:$L$191, MATCH($A122&amp;"USD bn", 'Database.Jan 12 to SEC'!$AD$6:$AD$191, 0))), INDEX('Database.Jan 12 to SEC'!$L$6:$L$191, MATCH($A122&amp;"USD bn", 'Database.Jan 12 to SEC'!$AD$6:$AD$191, 0)), "")</f>
        <v/>
      </c>
      <c r="G122" s="883"/>
      <c r="H122" s="882" t="str">
        <f>IF(ISNUMBER(INDEX('Database.Jan 12 to SEC'!$P$6:$P$191, MATCH($A122&amp;"USD bn", 'Database.Jan 12 to SEC'!$AD$6:$AD$191, 0))), INDEX('Database.Jan 12 to SEC'!$P$6:$P$191, MATCH($A122&amp;"USD bn", 'Database.Jan 12 to SEC'!$AD$6:$AD$191, 0)), "")</f>
        <v/>
      </c>
      <c r="I122" s="881" t="str">
        <f>IF(ISNUMBER(INDEX('Database.Jan 12 to SEC'!$Q$6:$Q$191, MATCH($A122&amp;"USD bn", 'Database.Jan 12 to SEC'!$AD$6:$AD$191, 0))), INDEX('Database.Jan 12 to SEC'!$Q$6:$Q$191, MATCH($A122&amp;"USD bn", 'Database.Jan 12 to SEC'!$AD$6:$AD$191, 0)), "")</f>
        <v/>
      </c>
      <c r="J122" s="884"/>
      <c r="K122" s="881" t="str">
        <f>IF(ISNUMBER(INDEX('Database.Jan 12 to SEC'!$U$6:$U$191, MATCH($A122&amp;"USD bn", 'Database.Jan 12 to SEC'!$AD$6:$AD$191, 0))), INDEX('Database.Jan 12 to SEC'!$U$6:$U$191, MATCH($A122&amp;"USD bn", 'Database.Jan 12 to SEC'!$AD$6:$AD$191, 0)), "")</f>
        <v/>
      </c>
      <c r="L122" s="881" t="str">
        <f>IF(ISNUMBER(INDEX('Database.Jan 12 to SEC'!$W$6:$W$191, MATCH($A122&amp;"USD bn", 'Database.Jan 12 to SEC'!$AD$6:$AD$191, 0))), INDEX('Database.Jan 12 to SEC'!$W$6:$W$191, MATCH($A122&amp;"USD bn", 'Database.Jan 12 to SEC'!$AD$6:$AD$191, 0)), "")</f>
        <v/>
      </c>
      <c r="M122" s="885"/>
      <c r="N122" s="885"/>
      <c r="O122" s="882" t="str">
        <f>IF(ISNUMBER(INDEX('Database.Jan 12 to SEC'!$G$6:$G$191, MATCH($A122&amp;"% GDP", 'Database.Jan 12 to SEC'!$AD$6:$AD$191, 0))), INDEX('Database.Jan 12 to SEC'!$G$6:$G$191, MATCH($A122&amp;"% GDP", 'Database.Jan 12 to SEC'!$AD$6:$AD$191, 0)), "")</f>
        <v/>
      </c>
      <c r="P122" s="881" t="str">
        <f>IF(ISNUMBER(INDEX('Database.Jan 12 to SEC'!$H$6:$H$191, MATCH($A122&amp;"% GDP", 'Database.Jan 12 to SEC'!$AD$6:$AD$191, 0))), INDEX('Database.Jan 12 to SEC'!$H$6:$H$191, MATCH($A122&amp;"% GDP", 'Database.Jan 12 to SEC'!$AD$6:$AD$191, 0)), "")</f>
        <v/>
      </c>
      <c r="Q122" s="881" t="str">
        <f>IF(ISNUMBER(INDEX('Database.Jan 12 to SEC'!$J$6:$J$191, MATCH($A122&amp;"% GDP", 'Database.Jan 12 to SEC'!$AD$6:$AD$191, 0))), INDEX('Database.Jan 12 to SEC'!$J$6:$J$191, MATCH($A122&amp;"% GDP", 'Database.Jan 12 to SEC'!$AD$6:$AD$191, 0)), "")</f>
        <v/>
      </c>
      <c r="R122" s="881" t="str">
        <f>IF(ISNUMBER(INDEX('Database.Jan 12 to SEC'!$L$6:$L$191, MATCH($A122&amp;"% GDP", 'Database.Jan 12 to SEC'!$AD$6:$AD$191, 0))), INDEX('Database.Jan 12 to SEC'!$L$6:$L$191, MATCH($A122&amp;"% GDP", 'Database.Jan 12 to SEC'!$AD$6:$AD$191, 0)), "")</f>
        <v/>
      </c>
      <c r="S122" s="883"/>
      <c r="T122" s="882" t="str">
        <f>IF(ISNUMBER(INDEX('Database.Jan 12 to SEC'!$P$6:$P$191, MATCH($A122&amp;"% GDP", 'Database.Jan 12 to SEC'!$AD$6:$AD$191, 0))), INDEX('Database.Jan 12 to SEC'!$P$6:$P$191, MATCH($A122&amp;"% GDP", 'Database.Jan 12 to SEC'!$AD$6:$AD$191, 0)), "")</f>
        <v/>
      </c>
      <c r="U122" s="881" t="str">
        <f>IF(ISNUMBER(INDEX('Database.Jan 12 to SEC'!$Q$6:$Q$191, MATCH($A122&amp;"% GDP", 'Database.Jan 12 to SEC'!$AD$6:$AD$191, 0))), INDEX('Database.Jan 12 to SEC'!$Q$6:$Q$191, MATCH($A122&amp;"% GDP", 'Database.Jan 12 to SEC'!$AD$6:$AD$191, 0)), "")</f>
        <v/>
      </c>
      <c r="V122" s="884"/>
      <c r="W122" s="881" t="str">
        <f>IF(ISNUMBER(INDEX('Database.Jan 12 to SEC'!$U$6:$U$191, MATCH($A122&amp;"% GDP", 'Database.Jan 12 to SEC'!$AD$6:$AD$191, 0))), INDEX('Database.Jan 12 to SEC'!$U$6:$U$191, MATCH($A122&amp;"% GDP", 'Database.Jan 12 to SEC'!$AD$6:$AD$191, 0)), "")</f>
        <v/>
      </c>
      <c r="X122" s="881" t="str">
        <f>IF(ISNUMBER(INDEX('Database.Jan 12 to SEC'!$W$6:$W$191, MATCH($A122&amp;"% GDP", 'Database.Jan 12 to SEC'!$AD$6:$AD$191, 0))), INDEX('Database.Jan 12 to SEC'!$W$6:$W$191, MATCH($A122&amp;"% GDP", 'Database.Jan 12 to SEC'!$AD$6:$AD$191, 0)), "")</f>
        <v/>
      </c>
      <c r="Z122" s="898"/>
      <c r="AA122" s="479" t="s">
        <v>1267</v>
      </c>
      <c r="AC122" s="562"/>
      <c r="AF122" s="839">
        <v>19.711394276042082</v>
      </c>
      <c r="AG122" s="833">
        <v>3.4452457296794692</v>
      </c>
      <c r="AH122" s="833">
        <v>16.266148546362611</v>
      </c>
      <c r="AI122" s="833">
        <v>3.4458178870704317</v>
      </c>
      <c r="AJ122" s="832"/>
      <c r="AK122" s="839">
        <v>19.796645727295466</v>
      </c>
      <c r="AL122" s="833">
        <v>0</v>
      </c>
      <c r="AM122" s="837"/>
      <c r="AN122" s="833">
        <v>19.796645727295466</v>
      </c>
      <c r="AO122" s="833" t="s">
        <v>452</v>
      </c>
      <c r="AP122" s="834"/>
      <c r="AQ122" s="834"/>
      <c r="AR122" s="839">
        <v>9.5938667869694285</v>
      </c>
      <c r="AS122" s="833">
        <v>1.6768589839986185</v>
      </c>
      <c r="AT122" s="833">
        <v>7.9170078029708097</v>
      </c>
      <c r="AU122" s="833">
        <v>1.6771374626142459</v>
      </c>
      <c r="AV122" s="832"/>
      <c r="AW122" s="839">
        <v>9.6353601006978682</v>
      </c>
      <c r="AX122" s="833">
        <v>0</v>
      </c>
      <c r="AY122" s="837"/>
      <c r="AZ122" s="833">
        <v>9.6353601006978682</v>
      </c>
      <c r="BA122" s="833" t="s">
        <v>452</v>
      </c>
    </row>
    <row r="123" spans="1:53">
      <c r="A123" s="764" t="s">
        <v>556</v>
      </c>
      <c r="B123" s="764" t="s">
        <v>556</v>
      </c>
      <c r="C123" s="896" t="str">
        <f>IF(ISNUMBER(INDEX('Database.Jan 12 to SEC'!$G$6:$G$191, MATCH($A123&amp;"USD bn", 'Database.Jan 12 to SEC'!$AD$6:$AD$191, 0))), INDEX('Database.Jan 12 to SEC'!$G$6:$G$191, MATCH($A123&amp;"USD bn", 'Database.Jan 12 to SEC'!$AD$6:$AD$191, 0)), "")</f>
        <v/>
      </c>
      <c r="D123" s="881" t="str">
        <f>IF(ISNUMBER(INDEX('Database.Jan 12 to SEC'!$H$6:$H$191, MATCH($A123&amp;"USD bn", 'Database.Jan 12 to SEC'!$AD$6:$AD$191, 0))), INDEX('Database.Jan 12 to SEC'!$H$6:$H$191, MATCH($A123&amp;"USD bn", 'Database.Jan 12 to SEC'!$AD$6:$AD$191, 0)), "")</f>
        <v/>
      </c>
      <c r="E123" s="881" t="str">
        <f>IF(ISNUMBER(INDEX('Database.Jan 12 to SEC'!$J$6:$J$191, MATCH($A123&amp;"USD bn", 'Database.Jan 12 to SEC'!$AD$6:$AD$191, 0))), INDEX('Database.Jan 12 to SEC'!$J$6:$J$191, MATCH($A123&amp;"USD bn", 'Database.Jan 12 to SEC'!$AD$6:$AD$191, 0)), "")</f>
        <v/>
      </c>
      <c r="F123" s="881" t="str">
        <f>IF(ISNUMBER(INDEX('Database.Jan 12 to SEC'!$L$6:$L$191, MATCH($A123&amp;"USD bn", 'Database.Jan 12 to SEC'!$AD$6:$AD$191, 0))), INDEX('Database.Jan 12 to SEC'!$L$6:$L$191, MATCH($A123&amp;"USD bn", 'Database.Jan 12 to SEC'!$AD$6:$AD$191, 0)), "")</f>
        <v/>
      </c>
      <c r="G123" s="883"/>
      <c r="H123" s="882" t="str">
        <f>IF(ISNUMBER(INDEX('Database.Jan 12 to SEC'!$P$6:$P$191, MATCH($A123&amp;"USD bn", 'Database.Jan 12 to SEC'!$AD$6:$AD$191, 0))), INDEX('Database.Jan 12 to SEC'!$P$6:$P$191, MATCH($A123&amp;"USD bn", 'Database.Jan 12 to SEC'!$AD$6:$AD$191, 0)), "")</f>
        <v/>
      </c>
      <c r="I123" s="881" t="str">
        <f>IF(ISNUMBER(INDEX('Database.Jan 12 to SEC'!$Q$6:$Q$191, MATCH($A123&amp;"USD bn", 'Database.Jan 12 to SEC'!$AD$6:$AD$191, 0))), INDEX('Database.Jan 12 to SEC'!$Q$6:$Q$191, MATCH($A123&amp;"USD bn", 'Database.Jan 12 to SEC'!$AD$6:$AD$191, 0)), "")</f>
        <v/>
      </c>
      <c r="J123" s="884"/>
      <c r="K123" s="881" t="str">
        <f>IF(ISNUMBER(INDEX('Database.Jan 12 to SEC'!$U$6:$U$191, MATCH($A123&amp;"USD bn", 'Database.Jan 12 to SEC'!$AD$6:$AD$191, 0))), INDEX('Database.Jan 12 to SEC'!$U$6:$U$191, MATCH($A123&amp;"USD bn", 'Database.Jan 12 to SEC'!$AD$6:$AD$191, 0)), "")</f>
        <v/>
      </c>
      <c r="L123" s="881" t="str">
        <f>IF(ISNUMBER(INDEX('Database.Jan 12 to SEC'!$W$6:$W$191, MATCH($A123&amp;"USD bn", 'Database.Jan 12 to SEC'!$AD$6:$AD$191, 0))), INDEX('Database.Jan 12 to SEC'!$W$6:$W$191, MATCH($A123&amp;"USD bn", 'Database.Jan 12 to SEC'!$AD$6:$AD$191, 0)), "")</f>
        <v/>
      </c>
      <c r="M123" s="885"/>
      <c r="N123" s="885"/>
      <c r="O123" s="882" t="str">
        <f>IF(ISNUMBER(INDEX('Database.Jan 12 to SEC'!$G$6:$G$191, MATCH($A123&amp;"% GDP", 'Database.Jan 12 to SEC'!$AD$6:$AD$191, 0))), INDEX('Database.Jan 12 to SEC'!$G$6:$G$191, MATCH($A123&amp;"% GDP", 'Database.Jan 12 to SEC'!$AD$6:$AD$191, 0)), "")</f>
        <v/>
      </c>
      <c r="P123" s="881" t="str">
        <f>IF(ISNUMBER(INDEX('Database.Jan 12 to SEC'!$H$6:$H$191, MATCH($A123&amp;"% GDP", 'Database.Jan 12 to SEC'!$AD$6:$AD$191, 0))), INDEX('Database.Jan 12 to SEC'!$H$6:$H$191, MATCH($A123&amp;"% GDP", 'Database.Jan 12 to SEC'!$AD$6:$AD$191, 0)), "")</f>
        <v/>
      </c>
      <c r="Q123" s="881" t="str">
        <f>IF(ISNUMBER(INDEX('Database.Jan 12 to SEC'!$J$6:$J$191, MATCH($A123&amp;"% GDP", 'Database.Jan 12 to SEC'!$AD$6:$AD$191, 0))), INDEX('Database.Jan 12 to SEC'!$J$6:$J$191, MATCH($A123&amp;"% GDP", 'Database.Jan 12 to SEC'!$AD$6:$AD$191, 0)), "")</f>
        <v/>
      </c>
      <c r="R123" s="881" t="str">
        <f>IF(ISNUMBER(INDEX('Database.Jan 12 to SEC'!$L$6:$L$191, MATCH($A123&amp;"% GDP", 'Database.Jan 12 to SEC'!$AD$6:$AD$191, 0))), INDEX('Database.Jan 12 to SEC'!$L$6:$L$191, MATCH($A123&amp;"% GDP", 'Database.Jan 12 to SEC'!$AD$6:$AD$191, 0)), "")</f>
        <v/>
      </c>
      <c r="S123" s="883"/>
      <c r="T123" s="882" t="str">
        <f>IF(ISNUMBER(INDEX('Database.Jan 12 to SEC'!$P$6:$P$191, MATCH($A123&amp;"% GDP", 'Database.Jan 12 to SEC'!$AD$6:$AD$191, 0))), INDEX('Database.Jan 12 to SEC'!$P$6:$P$191, MATCH($A123&amp;"% GDP", 'Database.Jan 12 to SEC'!$AD$6:$AD$191, 0)), "")</f>
        <v/>
      </c>
      <c r="U123" s="881" t="str">
        <f>IF(ISNUMBER(INDEX('Database.Jan 12 to SEC'!$Q$6:$Q$191, MATCH($A123&amp;"% GDP", 'Database.Jan 12 to SEC'!$AD$6:$AD$191, 0))), INDEX('Database.Jan 12 to SEC'!$Q$6:$Q$191, MATCH($A123&amp;"% GDP", 'Database.Jan 12 to SEC'!$AD$6:$AD$191, 0)), "")</f>
        <v/>
      </c>
      <c r="V123" s="884"/>
      <c r="W123" s="881" t="str">
        <f>IF(ISNUMBER(INDEX('Database.Jan 12 to SEC'!$U$6:$U$191, MATCH($A123&amp;"% GDP", 'Database.Jan 12 to SEC'!$AD$6:$AD$191, 0))), INDEX('Database.Jan 12 to SEC'!$U$6:$U$191, MATCH($A123&amp;"% GDP", 'Database.Jan 12 to SEC'!$AD$6:$AD$191, 0)), "")</f>
        <v/>
      </c>
      <c r="X123" s="881" t="str">
        <f>IF(ISNUMBER(INDEX('Database.Jan 12 to SEC'!$W$6:$W$191, MATCH($A123&amp;"% GDP", 'Database.Jan 12 to SEC'!$AD$6:$AD$191, 0))), INDEX('Database.Jan 12 to SEC'!$W$6:$W$191, MATCH($A123&amp;"% GDP", 'Database.Jan 12 to SEC'!$AD$6:$AD$191, 0)), "")</f>
        <v/>
      </c>
      <c r="Z123" s="898"/>
      <c r="AA123" s="479" t="s">
        <v>1267</v>
      </c>
      <c r="AC123" s="562"/>
      <c r="AF123" s="839">
        <v>16.101047676431413</v>
      </c>
      <c r="AG123" s="833">
        <v>3.2846943319878852</v>
      </c>
      <c r="AH123" s="833">
        <v>12.816353344443527</v>
      </c>
      <c r="AI123" s="833" t="s">
        <v>452</v>
      </c>
      <c r="AJ123" s="832"/>
      <c r="AK123" s="839">
        <v>2.1159073917713367</v>
      </c>
      <c r="AL123" s="833">
        <v>0.10075749484625414</v>
      </c>
      <c r="AM123" s="837"/>
      <c r="AN123" s="833">
        <v>2.0151498969250827</v>
      </c>
      <c r="AO123" s="833" t="s">
        <v>452</v>
      </c>
      <c r="AP123" s="834"/>
      <c r="AQ123" s="834"/>
      <c r="AR123" s="839">
        <v>4.4540862311094349</v>
      </c>
      <c r="AS123" s="833">
        <v>0.90865588945036024</v>
      </c>
      <c r="AT123" s="833">
        <v>3.5454303416590749</v>
      </c>
      <c r="AU123" s="833" t="s">
        <v>452</v>
      </c>
      <c r="AV123" s="832"/>
      <c r="AW123" s="839">
        <v>0.58533048093428119</v>
      </c>
      <c r="AX123" s="833">
        <v>2.7872880044489574E-2</v>
      </c>
      <c r="AY123" s="837"/>
      <c r="AZ123" s="833">
        <v>0.55745760088979157</v>
      </c>
      <c r="BA123" s="833" t="s">
        <v>452</v>
      </c>
    </row>
    <row r="124" spans="1:53">
      <c r="A124" s="764" t="s">
        <v>22</v>
      </c>
      <c r="B124" s="764" t="s">
        <v>22</v>
      </c>
      <c r="C124" s="896" t="str">
        <f>IF(ISNUMBER(INDEX('Database.Jan 12 to SEC'!$G$6:$G$191, MATCH($A124&amp;"USD bn", 'Database.Jan 12 to SEC'!$AD$6:$AD$191, 0))), INDEX('Database.Jan 12 to SEC'!$G$6:$G$191, MATCH($A124&amp;"USD bn", 'Database.Jan 12 to SEC'!$AD$6:$AD$191, 0)), "")</f>
        <v/>
      </c>
      <c r="D124" s="881" t="str">
        <f>IF(ISNUMBER(INDEX('Database.Jan 12 to SEC'!$H$6:$H$191, MATCH($A124&amp;"USD bn", 'Database.Jan 12 to SEC'!$AD$6:$AD$191, 0))), INDEX('Database.Jan 12 to SEC'!$H$6:$H$191, MATCH($A124&amp;"USD bn", 'Database.Jan 12 to SEC'!$AD$6:$AD$191, 0)), "")</f>
        <v/>
      </c>
      <c r="E124" s="881" t="str">
        <f>IF(ISNUMBER(INDEX('Database.Jan 12 to SEC'!$J$6:$J$191, MATCH($A124&amp;"USD bn", 'Database.Jan 12 to SEC'!$AD$6:$AD$191, 0))), INDEX('Database.Jan 12 to SEC'!$J$6:$J$191, MATCH($A124&amp;"USD bn", 'Database.Jan 12 to SEC'!$AD$6:$AD$191, 0)), "")</f>
        <v/>
      </c>
      <c r="F124" s="881" t="str">
        <f>IF(ISNUMBER(INDEX('Database.Jan 12 to SEC'!$L$6:$L$191, MATCH($A124&amp;"USD bn", 'Database.Jan 12 to SEC'!$AD$6:$AD$191, 0))), INDEX('Database.Jan 12 to SEC'!$L$6:$L$191, MATCH($A124&amp;"USD bn", 'Database.Jan 12 to SEC'!$AD$6:$AD$191, 0)), "")</f>
        <v/>
      </c>
      <c r="G124" s="883"/>
      <c r="H124" s="882" t="str">
        <f>IF(ISNUMBER(INDEX('Database.Jan 12 to SEC'!$P$6:$P$191, MATCH($A124&amp;"USD bn", 'Database.Jan 12 to SEC'!$AD$6:$AD$191, 0))), INDEX('Database.Jan 12 to SEC'!$P$6:$P$191, MATCH($A124&amp;"USD bn", 'Database.Jan 12 to SEC'!$AD$6:$AD$191, 0)), "")</f>
        <v/>
      </c>
      <c r="I124" s="881" t="str">
        <f>IF(ISNUMBER(INDEX('Database.Jan 12 to SEC'!$Q$6:$Q$191, MATCH($A124&amp;"USD bn", 'Database.Jan 12 to SEC'!$AD$6:$AD$191, 0))), INDEX('Database.Jan 12 to SEC'!$Q$6:$Q$191, MATCH($A124&amp;"USD bn", 'Database.Jan 12 to SEC'!$AD$6:$AD$191, 0)), "")</f>
        <v/>
      </c>
      <c r="J124" s="884"/>
      <c r="K124" s="881" t="str">
        <f>IF(ISNUMBER(INDEX('Database.Jan 12 to SEC'!$U$6:$U$191, MATCH($A124&amp;"USD bn", 'Database.Jan 12 to SEC'!$AD$6:$AD$191, 0))), INDEX('Database.Jan 12 to SEC'!$U$6:$U$191, MATCH($A124&amp;"USD bn", 'Database.Jan 12 to SEC'!$AD$6:$AD$191, 0)), "")</f>
        <v/>
      </c>
      <c r="L124" s="881" t="str">
        <f>IF(ISNUMBER(INDEX('Database.Jan 12 to SEC'!$W$6:$W$191, MATCH($A124&amp;"USD bn", 'Database.Jan 12 to SEC'!$AD$6:$AD$191, 0))), INDEX('Database.Jan 12 to SEC'!$W$6:$W$191, MATCH($A124&amp;"USD bn", 'Database.Jan 12 to SEC'!$AD$6:$AD$191, 0)), "")</f>
        <v/>
      </c>
      <c r="M124" s="885"/>
      <c r="N124" s="885"/>
      <c r="O124" s="882" t="str">
        <f>IF(ISNUMBER(INDEX('Database.Jan 12 to SEC'!$G$6:$G$191, MATCH($A124&amp;"% GDP", 'Database.Jan 12 to SEC'!$AD$6:$AD$191, 0))), INDEX('Database.Jan 12 to SEC'!$G$6:$G$191, MATCH($A124&amp;"% GDP", 'Database.Jan 12 to SEC'!$AD$6:$AD$191, 0)), "")</f>
        <v/>
      </c>
      <c r="P124" s="881" t="str">
        <f>IF(ISNUMBER(INDEX('Database.Jan 12 to SEC'!$H$6:$H$191, MATCH($A124&amp;"% GDP", 'Database.Jan 12 to SEC'!$AD$6:$AD$191, 0))), INDEX('Database.Jan 12 to SEC'!$H$6:$H$191, MATCH($A124&amp;"% GDP", 'Database.Jan 12 to SEC'!$AD$6:$AD$191, 0)), "")</f>
        <v/>
      </c>
      <c r="Q124" s="881" t="str">
        <f>IF(ISNUMBER(INDEX('Database.Jan 12 to SEC'!$J$6:$J$191, MATCH($A124&amp;"% GDP", 'Database.Jan 12 to SEC'!$AD$6:$AD$191, 0))), INDEX('Database.Jan 12 to SEC'!$J$6:$J$191, MATCH($A124&amp;"% GDP", 'Database.Jan 12 to SEC'!$AD$6:$AD$191, 0)), "")</f>
        <v/>
      </c>
      <c r="R124" s="881" t="str">
        <f>IF(ISNUMBER(INDEX('Database.Jan 12 to SEC'!$L$6:$L$191, MATCH($A124&amp;"% GDP", 'Database.Jan 12 to SEC'!$AD$6:$AD$191, 0))), INDEX('Database.Jan 12 to SEC'!$L$6:$L$191, MATCH($A124&amp;"% GDP", 'Database.Jan 12 to SEC'!$AD$6:$AD$191, 0)), "")</f>
        <v/>
      </c>
      <c r="S124" s="883"/>
      <c r="T124" s="882" t="str">
        <f>IF(ISNUMBER(INDEX('Database.Jan 12 to SEC'!$P$6:$P$191, MATCH($A124&amp;"% GDP", 'Database.Jan 12 to SEC'!$AD$6:$AD$191, 0))), INDEX('Database.Jan 12 to SEC'!$P$6:$P$191, MATCH($A124&amp;"% GDP", 'Database.Jan 12 to SEC'!$AD$6:$AD$191, 0)), "")</f>
        <v/>
      </c>
      <c r="U124" s="881" t="str">
        <f>IF(ISNUMBER(INDEX('Database.Jan 12 to SEC'!$Q$6:$Q$191, MATCH($A124&amp;"% GDP", 'Database.Jan 12 to SEC'!$AD$6:$AD$191, 0))), INDEX('Database.Jan 12 to SEC'!$Q$6:$Q$191, MATCH($A124&amp;"% GDP", 'Database.Jan 12 to SEC'!$AD$6:$AD$191, 0)), "")</f>
        <v/>
      </c>
      <c r="V124" s="884"/>
      <c r="W124" s="881" t="str">
        <f>IF(ISNUMBER(INDEX('Database.Jan 12 to SEC'!$U$6:$U$191, MATCH($A124&amp;"% GDP", 'Database.Jan 12 to SEC'!$AD$6:$AD$191, 0))), INDEX('Database.Jan 12 to SEC'!$U$6:$U$191, MATCH($A124&amp;"% GDP", 'Database.Jan 12 to SEC'!$AD$6:$AD$191, 0)), "")</f>
        <v/>
      </c>
      <c r="X124" s="881" t="str">
        <f>IF(ISNUMBER(INDEX('Database.Jan 12 to SEC'!$W$6:$W$191, MATCH($A124&amp;"% GDP", 'Database.Jan 12 to SEC'!$AD$6:$AD$191, 0))), INDEX('Database.Jan 12 to SEC'!$W$6:$W$191, MATCH($A124&amp;"% GDP", 'Database.Jan 12 to SEC'!$AD$6:$AD$191, 0)), "")</f>
        <v/>
      </c>
      <c r="Z124" s="898"/>
      <c r="AB124" s="879" t="s">
        <v>1285</v>
      </c>
      <c r="AC124" s="562"/>
      <c r="AF124" s="839">
        <v>38.516359409090974</v>
      </c>
      <c r="AG124" s="833">
        <v>3.7695771192652283</v>
      </c>
      <c r="AH124" s="833">
        <v>34.746782289825745</v>
      </c>
      <c r="AI124" s="833" t="s">
        <v>452</v>
      </c>
      <c r="AJ124" s="832"/>
      <c r="AK124" s="839">
        <v>28.720587575354124</v>
      </c>
      <c r="AL124" s="833">
        <v>9.7444850702094339</v>
      </c>
      <c r="AM124" s="837"/>
      <c r="AN124" s="833">
        <v>18.976102505144688</v>
      </c>
      <c r="AO124" s="833" t="s">
        <v>452</v>
      </c>
      <c r="AP124" s="834"/>
      <c r="AQ124" s="834"/>
      <c r="AR124" s="839">
        <v>6.463386978297736</v>
      </c>
      <c r="AS124" s="833">
        <v>0.63256849920756808</v>
      </c>
      <c r="AT124" s="833">
        <v>5.8308184790901683</v>
      </c>
      <c r="AU124" s="833" t="s">
        <v>452</v>
      </c>
      <c r="AV124" s="832"/>
      <c r="AW124" s="839">
        <v>4.8195695177719475</v>
      </c>
      <c r="AX124" s="833">
        <v>1.6352110863869107</v>
      </c>
      <c r="AY124" s="837"/>
      <c r="AZ124" s="833">
        <v>3.184358431385037</v>
      </c>
      <c r="BA124" s="833" t="s">
        <v>452</v>
      </c>
    </row>
    <row r="125" spans="1:53">
      <c r="A125" s="764" t="s">
        <v>1074</v>
      </c>
      <c r="B125" s="764" t="s">
        <v>1074</v>
      </c>
      <c r="C125" s="896">
        <v>1.4</v>
      </c>
      <c r="D125" s="881">
        <v>0.9</v>
      </c>
      <c r="E125" s="881">
        <v>0.49999999999999989</v>
      </c>
      <c r="F125" s="881" t="s">
        <v>452</v>
      </c>
      <c r="G125" s="883"/>
      <c r="H125" s="882">
        <v>1.3736263736263736</v>
      </c>
      <c r="I125" s="881" t="s">
        <v>452</v>
      </c>
      <c r="J125" s="884"/>
      <c r="K125" s="881">
        <v>1.3736263736263736</v>
      </c>
      <c r="L125" s="881" t="s">
        <v>452</v>
      </c>
      <c r="M125" s="885"/>
      <c r="N125" s="885"/>
      <c r="O125" s="882">
        <v>1</v>
      </c>
      <c r="P125" s="881">
        <v>0.6</v>
      </c>
      <c r="Q125" s="881">
        <v>0.4</v>
      </c>
      <c r="R125" s="881" t="s">
        <v>452</v>
      </c>
      <c r="S125" s="883"/>
      <c r="T125" s="882">
        <v>0.94439586052406432</v>
      </c>
      <c r="U125" s="881" t="s">
        <v>452</v>
      </c>
      <c r="V125" s="884"/>
      <c r="W125" s="881">
        <v>0.94439586052406432</v>
      </c>
      <c r="X125" s="881" t="s">
        <v>452</v>
      </c>
      <c r="Z125" s="898"/>
      <c r="AA125" s="479" t="s">
        <v>1267</v>
      </c>
      <c r="AC125" s="717"/>
      <c r="AF125" s="839">
        <v>1.4</v>
      </c>
      <c r="AG125" s="833">
        <v>0.9</v>
      </c>
      <c r="AH125" s="833">
        <v>0.49999999999999989</v>
      </c>
      <c r="AI125" s="833" t="s">
        <v>452</v>
      </c>
      <c r="AJ125" s="832"/>
      <c r="AK125" s="839">
        <v>1.3736263736263736</v>
      </c>
      <c r="AL125" s="833" t="s">
        <v>452</v>
      </c>
      <c r="AM125" s="837"/>
      <c r="AN125" s="833">
        <v>1.3736263736263736</v>
      </c>
      <c r="AO125" s="833" t="s">
        <v>452</v>
      </c>
      <c r="AP125" s="834"/>
      <c r="AQ125" s="834"/>
      <c r="AR125" s="839">
        <v>1</v>
      </c>
      <c r="AS125" s="833">
        <v>0.6</v>
      </c>
      <c r="AT125" s="833">
        <v>0.4</v>
      </c>
      <c r="AU125" s="833" t="s">
        <v>452</v>
      </c>
      <c r="AV125" s="832"/>
      <c r="AW125" s="839">
        <v>0.94439586052406432</v>
      </c>
      <c r="AX125" s="833" t="s">
        <v>452</v>
      </c>
      <c r="AY125" s="837"/>
      <c r="AZ125" s="833">
        <v>0.94439586052406432</v>
      </c>
      <c r="BA125" s="833" t="s">
        <v>452</v>
      </c>
    </row>
    <row r="126" spans="1:53">
      <c r="A126" s="764" t="s">
        <v>557</v>
      </c>
      <c r="B126" s="764" t="s">
        <v>557</v>
      </c>
      <c r="C126" s="896" t="str">
        <f>IF(ISNUMBER(INDEX('Database.Jan 12 to SEC'!$G$6:$G$191, MATCH($A126&amp;"USD bn", 'Database.Jan 12 to SEC'!$AD$6:$AD$191, 0))), INDEX('Database.Jan 12 to SEC'!$G$6:$G$191, MATCH($A126&amp;"USD bn", 'Database.Jan 12 to SEC'!$AD$6:$AD$191, 0)), "")</f>
        <v/>
      </c>
      <c r="D126" s="881" t="str">
        <f>IF(ISNUMBER(INDEX('Database.Jan 12 to SEC'!$H$6:$H$191, MATCH($A126&amp;"USD bn", 'Database.Jan 12 to SEC'!$AD$6:$AD$191, 0))), INDEX('Database.Jan 12 to SEC'!$H$6:$H$191, MATCH($A126&amp;"USD bn", 'Database.Jan 12 to SEC'!$AD$6:$AD$191, 0)), "")</f>
        <v/>
      </c>
      <c r="E126" s="881" t="str">
        <f>IF(ISNUMBER(INDEX('Database.Jan 12 to SEC'!$J$6:$J$191, MATCH($A126&amp;"USD bn", 'Database.Jan 12 to SEC'!$AD$6:$AD$191, 0))), INDEX('Database.Jan 12 to SEC'!$J$6:$J$191, MATCH($A126&amp;"USD bn", 'Database.Jan 12 to SEC'!$AD$6:$AD$191, 0)), "")</f>
        <v/>
      </c>
      <c r="F126" s="881" t="str">
        <f>IF(ISNUMBER(INDEX('Database.Jan 12 to SEC'!$L$6:$L$191, MATCH($A126&amp;"USD bn", 'Database.Jan 12 to SEC'!$AD$6:$AD$191, 0))), INDEX('Database.Jan 12 to SEC'!$L$6:$L$191, MATCH($A126&amp;"USD bn", 'Database.Jan 12 to SEC'!$AD$6:$AD$191, 0)), "")</f>
        <v/>
      </c>
      <c r="G126" s="883"/>
      <c r="H126" s="882" t="str">
        <f>IF(ISNUMBER(INDEX('Database.Jan 12 to SEC'!$P$6:$P$191, MATCH($A126&amp;"USD bn", 'Database.Jan 12 to SEC'!$AD$6:$AD$191, 0))), INDEX('Database.Jan 12 to SEC'!$P$6:$P$191, MATCH($A126&amp;"USD bn", 'Database.Jan 12 to SEC'!$AD$6:$AD$191, 0)), "")</f>
        <v/>
      </c>
      <c r="I126" s="881" t="str">
        <f>IF(ISNUMBER(INDEX('Database.Jan 12 to SEC'!$Q$6:$Q$191, MATCH($A126&amp;"USD bn", 'Database.Jan 12 to SEC'!$AD$6:$AD$191, 0))), INDEX('Database.Jan 12 to SEC'!$Q$6:$Q$191, MATCH($A126&amp;"USD bn", 'Database.Jan 12 to SEC'!$AD$6:$AD$191, 0)), "")</f>
        <v/>
      </c>
      <c r="J126" s="884"/>
      <c r="K126" s="881" t="str">
        <f>IF(ISNUMBER(INDEX('Database.Jan 12 to SEC'!$U$6:$U$191, MATCH($A126&amp;"USD bn", 'Database.Jan 12 to SEC'!$AD$6:$AD$191, 0))), INDEX('Database.Jan 12 to SEC'!$U$6:$U$191, MATCH($A126&amp;"USD bn", 'Database.Jan 12 to SEC'!$AD$6:$AD$191, 0)), "")</f>
        <v/>
      </c>
      <c r="L126" s="881" t="str">
        <f>IF(ISNUMBER(INDEX('Database.Jan 12 to SEC'!$W$6:$W$191, MATCH($A126&amp;"USD bn", 'Database.Jan 12 to SEC'!$AD$6:$AD$191, 0))), INDEX('Database.Jan 12 to SEC'!$W$6:$W$191, MATCH($A126&amp;"USD bn", 'Database.Jan 12 to SEC'!$AD$6:$AD$191, 0)), "")</f>
        <v/>
      </c>
      <c r="M126" s="885"/>
      <c r="N126" s="885"/>
      <c r="O126" s="882" t="str">
        <f>IF(ISNUMBER(INDEX('Database.Jan 12 to SEC'!$G$6:$G$191, MATCH($A126&amp;"% GDP", 'Database.Jan 12 to SEC'!$AD$6:$AD$191, 0))), INDEX('Database.Jan 12 to SEC'!$G$6:$G$191, MATCH($A126&amp;"% GDP", 'Database.Jan 12 to SEC'!$AD$6:$AD$191, 0)), "")</f>
        <v/>
      </c>
      <c r="P126" s="881" t="str">
        <f>IF(ISNUMBER(INDEX('Database.Jan 12 to SEC'!$H$6:$H$191, MATCH($A126&amp;"% GDP", 'Database.Jan 12 to SEC'!$AD$6:$AD$191, 0))), INDEX('Database.Jan 12 to SEC'!$H$6:$H$191, MATCH($A126&amp;"% GDP", 'Database.Jan 12 to SEC'!$AD$6:$AD$191, 0)), "")</f>
        <v/>
      </c>
      <c r="Q126" s="881" t="str">
        <f>IF(ISNUMBER(INDEX('Database.Jan 12 to SEC'!$J$6:$J$191, MATCH($A126&amp;"% GDP", 'Database.Jan 12 to SEC'!$AD$6:$AD$191, 0))), INDEX('Database.Jan 12 to SEC'!$J$6:$J$191, MATCH($A126&amp;"% GDP", 'Database.Jan 12 to SEC'!$AD$6:$AD$191, 0)), "")</f>
        <v/>
      </c>
      <c r="R126" s="881" t="str">
        <f>IF(ISNUMBER(INDEX('Database.Jan 12 to SEC'!$L$6:$L$191, MATCH($A126&amp;"% GDP", 'Database.Jan 12 to SEC'!$AD$6:$AD$191, 0))), INDEX('Database.Jan 12 to SEC'!$L$6:$L$191, MATCH($A126&amp;"% GDP", 'Database.Jan 12 to SEC'!$AD$6:$AD$191, 0)), "")</f>
        <v/>
      </c>
      <c r="S126" s="883"/>
      <c r="T126" s="882" t="str">
        <f>IF(ISNUMBER(INDEX('Database.Jan 12 to SEC'!$P$6:$P$191, MATCH($A126&amp;"% GDP", 'Database.Jan 12 to SEC'!$AD$6:$AD$191, 0))), INDEX('Database.Jan 12 to SEC'!$P$6:$P$191, MATCH($A126&amp;"% GDP", 'Database.Jan 12 to SEC'!$AD$6:$AD$191, 0)), "")</f>
        <v/>
      </c>
      <c r="U126" s="881" t="str">
        <f>IF(ISNUMBER(INDEX('Database.Jan 12 to SEC'!$Q$6:$Q$191, MATCH($A126&amp;"% GDP", 'Database.Jan 12 to SEC'!$AD$6:$AD$191, 0))), INDEX('Database.Jan 12 to SEC'!$Q$6:$Q$191, MATCH($A126&amp;"% GDP", 'Database.Jan 12 to SEC'!$AD$6:$AD$191, 0)), "")</f>
        <v/>
      </c>
      <c r="V126" s="884"/>
      <c r="W126" s="881" t="str">
        <f>IF(ISNUMBER(INDEX('Database.Jan 12 to SEC'!$U$6:$U$191, MATCH($A126&amp;"% GDP", 'Database.Jan 12 to SEC'!$AD$6:$AD$191, 0))), INDEX('Database.Jan 12 to SEC'!$U$6:$U$191, MATCH($A126&amp;"% GDP", 'Database.Jan 12 to SEC'!$AD$6:$AD$191, 0)), "")</f>
        <v/>
      </c>
      <c r="X126" s="881" t="str">
        <f>IF(ISNUMBER(INDEX('Database.Jan 12 to SEC'!$W$6:$W$191, MATCH($A126&amp;"% GDP", 'Database.Jan 12 to SEC'!$AD$6:$AD$191, 0))), INDEX('Database.Jan 12 to SEC'!$W$6:$W$191, MATCH($A126&amp;"% GDP", 'Database.Jan 12 to SEC'!$AD$6:$AD$191, 0)), "")</f>
        <v/>
      </c>
      <c r="Z126" s="898"/>
      <c r="AA126" s="479" t="s">
        <v>1265</v>
      </c>
      <c r="AB126" s="479" t="s">
        <v>1283</v>
      </c>
      <c r="AC126" s="562"/>
      <c r="AF126" s="839">
        <v>8.4825802752518751</v>
      </c>
      <c r="AG126" s="833">
        <v>2.3562722986810765</v>
      </c>
      <c r="AH126" s="833">
        <v>6.1263079765707982</v>
      </c>
      <c r="AI126" s="833">
        <v>0.54194262869664755</v>
      </c>
      <c r="AJ126" s="832"/>
      <c r="AK126" s="839">
        <v>10.391160837183547</v>
      </c>
      <c r="AL126" s="833">
        <v>0.40056629077578298</v>
      </c>
      <c r="AM126" s="837"/>
      <c r="AN126" s="833">
        <v>9.9905945464077632</v>
      </c>
      <c r="AO126" s="833" t="s">
        <v>452</v>
      </c>
      <c r="AP126" s="834"/>
      <c r="AQ126" s="834"/>
      <c r="AR126" s="839">
        <v>3.4105481432975906</v>
      </c>
      <c r="AS126" s="833">
        <v>0.94737448424933068</v>
      </c>
      <c r="AT126" s="833">
        <v>2.4631736590482598</v>
      </c>
      <c r="AU126" s="833">
        <v>0.21789613137734604</v>
      </c>
      <c r="AV126" s="832"/>
      <c r="AW126" s="839">
        <v>4.1779214755395486</v>
      </c>
      <c r="AX126" s="833">
        <v>0.16105366232238622</v>
      </c>
      <c r="AY126" s="837"/>
      <c r="AZ126" s="833">
        <v>4.0168678132171625</v>
      </c>
      <c r="BA126" s="833" t="s">
        <v>452</v>
      </c>
    </row>
    <row r="127" spans="1:53">
      <c r="A127" s="764" t="s">
        <v>1075</v>
      </c>
      <c r="B127" s="764" t="s">
        <v>1075</v>
      </c>
      <c r="C127" s="896">
        <v>5.5909549958539889E-2</v>
      </c>
      <c r="D127" s="881">
        <v>7.4546066611386524E-3</v>
      </c>
      <c r="E127" s="881">
        <v>4.8454943297401236E-2</v>
      </c>
      <c r="F127" s="881" t="s">
        <v>452</v>
      </c>
      <c r="G127" s="883"/>
      <c r="H127" s="882">
        <v>2.2363819983415956E-2</v>
      </c>
      <c r="I127" s="881" t="s">
        <v>452</v>
      </c>
      <c r="J127" s="884"/>
      <c r="K127" s="881" t="s">
        <v>452</v>
      </c>
      <c r="L127" s="881">
        <v>2.2363819983415956E-2</v>
      </c>
      <c r="M127" s="885"/>
      <c r="N127" s="885"/>
      <c r="O127" s="882">
        <v>6.9</v>
      </c>
      <c r="P127" s="881">
        <v>1.1000000000000001</v>
      </c>
      <c r="Q127" s="881">
        <v>5.8000000000000007</v>
      </c>
      <c r="R127" s="881">
        <v>2.2965296811763771</v>
      </c>
      <c r="S127" s="883"/>
      <c r="T127" s="882">
        <v>2.7</v>
      </c>
      <c r="U127" s="881" t="s">
        <v>452</v>
      </c>
      <c r="V127" s="884"/>
      <c r="W127" s="881">
        <v>0</v>
      </c>
      <c r="X127" s="881">
        <v>2.7</v>
      </c>
      <c r="Z127" s="898"/>
      <c r="AA127" s="479" t="s">
        <v>1267</v>
      </c>
      <c r="AC127" s="717"/>
      <c r="AF127" s="839">
        <v>5.5909549958539889E-2</v>
      </c>
      <c r="AG127" s="833">
        <v>7.4546066611386524E-3</v>
      </c>
      <c r="AH127" s="833">
        <v>4.8454943297401236E-2</v>
      </c>
      <c r="AI127" s="833" t="s">
        <v>452</v>
      </c>
      <c r="AJ127" s="832"/>
      <c r="AK127" s="839">
        <v>2.2363819983415956E-2</v>
      </c>
      <c r="AL127" s="833" t="s">
        <v>452</v>
      </c>
      <c r="AM127" s="837"/>
      <c r="AN127" s="833" t="s">
        <v>452</v>
      </c>
      <c r="AO127" s="833">
        <v>2.2363819983415956E-2</v>
      </c>
      <c r="AP127" s="834"/>
      <c r="AQ127" s="834"/>
      <c r="AR127" s="839">
        <v>6.9</v>
      </c>
      <c r="AS127" s="833">
        <v>1.1000000000000001</v>
      </c>
      <c r="AT127" s="833">
        <v>5.8000000000000007</v>
      </c>
      <c r="AU127" s="833">
        <v>2.2965296811763771</v>
      </c>
      <c r="AV127" s="832"/>
      <c r="AW127" s="839">
        <v>2.7</v>
      </c>
      <c r="AX127" s="833" t="s">
        <v>452</v>
      </c>
      <c r="AY127" s="837"/>
      <c r="AZ127" s="833">
        <v>0</v>
      </c>
      <c r="BA127" s="833">
        <v>2.7</v>
      </c>
    </row>
    <row r="128" spans="1:53">
      <c r="A128" s="764" t="s">
        <v>953</v>
      </c>
      <c r="B128" s="764" t="s">
        <v>953</v>
      </c>
      <c r="C128" s="896" t="str">
        <f>IF(ISNUMBER(INDEX('Database.Jan 12 to SEC'!$G$6:$G$191, MATCH($A128&amp;"USD bn", 'Database.Jan 12 to SEC'!$AD$6:$AD$191, 0))), INDEX('Database.Jan 12 to SEC'!$G$6:$G$191, MATCH($A128&amp;"USD bn", 'Database.Jan 12 to SEC'!$AD$6:$AD$191, 0)), "")</f>
        <v/>
      </c>
      <c r="D128" s="881" t="str">
        <f>IF(ISNUMBER(INDEX('Database.Jan 12 to SEC'!$H$6:$H$191, MATCH($A128&amp;"USD bn", 'Database.Jan 12 to SEC'!$AD$6:$AD$191, 0))), INDEX('Database.Jan 12 to SEC'!$H$6:$H$191, MATCH($A128&amp;"USD bn", 'Database.Jan 12 to SEC'!$AD$6:$AD$191, 0)), "")</f>
        <v/>
      </c>
      <c r="E128" s="881" t="str">
        <f>IF(ISNUMBER(INDEX('Database.Jan 12 to SEC'!$J$6:$J$191, MATCH($A128&amp;"USD bn", 'Database.Jan 12 to SEC'!$AD$6:$AD$191, 0))), INDEX('Database.Jan 12 to SEC'!$J$6:$J$191, MATCH($A128&amp;"USD bn", 'Database.Jan 12 to SEC'!$AD$6:$AD$191, 0)), "")</f>
        <v/>
      </c>
      <c r="F128" s="881" t="str">
        <f>IF(ISNUMBER(INDEX('Database.Jan 12 to SEC'!$L$6:$L$191, MATCH($A128&amp;"USD bn", 'Database.Jan 12 to SEC'!$AD$6:$AD$191, 0))), INDEX('Database.Jan 12 to SEC'!$L$6:$L$191, MATCH($A128&amp;"USD bn", 'Database.Jan 12 to SEC'!$AD$6:$AD$191, 0)), "")</f>
        <v/>
      </c>
      <c r="G128" s="883"/>
      <c r="H128" s="882" t="str">
        <f>IF(ISNUMBER(INDEX('Database.Jan 12 to SEC'!$P$6:$P$191, MATCH($A128&amp;"USD bn", 'Database.Jan 12 to SEC'!$AD$6:$AD$191, 0))), INDEX('Database.Jan 12 to SEC'!$P$6:$P$191, MATCH($A128&amp;"USD bn", 'Database.Jan 12 to SEC'!$AD$6:$AD$191, 0)), "")</f>
        <v/>
      </c>
      <c r="I128" s="881" t="str">
        <f>IF(ISNUMBER(INDEX('Database.Jan 12 to SEC'!$Q$6:$Q$191, MATCH($A128&amp;"USD bn", 'Database.Jan 12 to SEC'!$AD$6:$AD$191, 0))), INDEX('Database.Jan 12 to SEC'!$Q$6:$Q$191, MATCH($A128&amp;"USD bn", 'Database.Jan 12 to SEC'!$AD$6:$AD$191, 0)), "")</f>
        <v/>
      </c>
      <c r="J128" s="884"/>
      <c r="K128" s="881" t="str">
        <f>IF(ISNUMBER(INDEX('Database.Jan 12 to SEC'!$U$6:$U$191, MATCH($A128&amp;"USD bn", 'Database.Jan 12 to SEC'!$AD$6:$AD$191, 0))), INDEX('Database.Jan 12 to SEC'!$U$6:$U$191, MATCH($A128&amp;"USD bn", 'Database.Jan 12 to SEC'!$AD$6:$AD$191, 0)), "")</f>
        <v/>
      </c>
      <c r="L128" s="881" t="str">
        <f>IF(ISNUMBER(INDEX('Database.Jan 12 to SEC'!$W$6:$W$191, MATCH($A128&amp;"USD bn", 'Database.Jan 12 to SEC'!$AD$6:$AD$191, 0))), INDEX('Database.Jan 12 to SEC'!$W$6:$W$191, MATCH($A128&amp;"USD bn", 'Database.Jan 12 to SEC'!$AD$6:$AD$191, 0)), "")</f>
        <v/>
      </c>
      <c r="M128" s="885"/>
      <c r="N128" s="885"/>
      <c r="O128" s="882" t="str">
        <f>IF(ISNUMBER(INDEX('Database.Jan 12 to SEC'!$G$6:$G$191, MATCH($A128&amp;"% GDP", 'Database.Jan 12 to SEC'!$AD$6:$AD$191, 0))), INDEX('Database.Jan 12 to SEC'!$G$6:$G$191, MATCH($A128&amp;"% GDP", 'Database.Jan 12 to SEC'!$AD$6:$AD$191, 0)), "")</f>
        <v/>
      </c>
      <c r="P128" s="881" t="str">
        <f>IF(ISNUMBER(INDEX('Database.Jan 12 to SEC'!$H$6:$H$191, MATCH($A128&amp;"% GDP", 'Database.Jan 12 to SEC'!$AD$6:$AD$191, 0))), INDEX('Database.Jan 12 to SEC'!$H$6:$H$191, MATCH($A128&amp;"% GDP", 'Database.Jan 12 to SEC'!$AD$6:$AD$191, 0)), "")</f>
        <v/>
      </c>
      <c r="Q128" s="881" t="str">
        <f>IF(ISNUMBER(INDEX('Database.Jan 12 to SEC'!$J$6:$J$191, MATCH($A128&amp;"% GDP", 'Database.Jan 12 to SEC'!$AD$6:$AD$191, 0))), INDEX('Database.Jan 12 to SEC'!$J$6:$J$191, MATCH($A128&amp;"% GDP", 'Database.Jan 12 to SEC'!$AD$6:$AD$191, 0)), "")</f>
        <v/>
      </c>
      <c r="R128" s="881" t="str">
        <f>IF(ISNUMBER(INDEX('Database.Jan 12 to SEC'!$L$6:$L$191, MATCH($A128&amp;"% GDP", 'Database.Jan 12 to SEC'!$AD$6:$AD$191, 0))), INDEX('Database.Jan 12 to SEC'!$L$6:$L$191, MATCH($A128&amp;"% GDP", 'Database.Jan 12 to SEC'!$AD$6:$AD$191, 0)), "")</f>
        <v/>
      </c>
      <c r="S128" s="883"/>
      <c r="T128" s="882" t="str">
        <f>IF(ISNUMBER(INDEX('Database.Jan 12 to SEC'!$P$6:$P$191, MATCH($A128&amp;"% GDP", 'Database.Jan 12 to SEC'!$AD$6:$AD$191, 0))), INDEX('Database.Jan 12 to SEC'!$P$6:$P$191, MATCH($A128&amp;"% GDP", 'Database.Jan 12 to SEC'!$AD$6:$AD$191, 0)), "")</f>
        <v/>
      </c>
      <c r="U128" s="881" t="str">
        <f>IF(ISNUMBER(INDEX('Database.Jan 12 to SEC'!$Q$6:$Q$191, MATCH($A128&amp;"% GDP", 'Database.Jan 12 to SEC'!$AD$6:$AD$191, 0))), INDEX('Database.Jan 12 to SEC'!$Q$6:$Q$191, MATCH($A128&amp;"% GDP", 'Database.Jan 12 to SEC'!$AD$6:$AD$191, 0)), "")</f>
        <v/>
      </c>
      <c r="V128" s="884"/>
      <c r="W128" s="881" t="str">
        <f>IF(ISNUMBER(INDEX('Database.Jan 12 to SEC'!$U$6:$U$191, MATCH($A128&amp;"% GDP", 'Database.Jan 12 to SEC'!$AD$6:$AD$191, 0))), INDEX('Database.Jan 12 to SEC'!$U$6:$U$191, MATCH($A128&amp;"% GDP", 'Database.Jan 12 to SEC'!$AD$6:$AD$191, 0)), "")</f>
        <v/>
      </c>
      <c r="X128" s="881" t="str">
        <f>IF(ISNUMBER(INDEX('Database.Jan 12 to SEC'!$W$6:$W$191, MATCH($A128&amp;"% GDP", 'Database.Jan 12 to SEC'!$AD$6:$AD$191, 0))), INDEX('Database.Jan 12 to SEC'!$W$6:$W$191, MATCH($A128&amp;"% GDP", 'Database.Jan 12 to SEC'!$AD$6:$AD$191, 0)), "")</f>
        <v/>
      </c>
      <c r="Z128" s="898"/>
      <c r="AA128" s="479" t="s">
        <v>1267</v>
      </c>
      <c r="AC128" s="717"/>
      <c r="AF128" s="839">
        <v>6.4363979597070609</v>
      </c>
      <c r="AG128" s="833">
        <v>1.2116713026556967</v>
      </c>
      <c r="AH128" s="833">
        <v>5.224726657051364</v>
      </c>
      <c r="AI128" s="833">
        <v>1.434618822344345</v>
      </c>
      <c r="AJ128" s="832"/>
      <c r="AK128" s="839">
        <v>1.6963398237179754</v>
      </c>
      <c r="AL128" s="833" t="s">
        <v>452</v>
      </c>
      <c r="AM128" s="837"/>
      <c r="AN128" s="833">
        <v>1.6963398237179754</v>
      </c>
      <c r="AO128" s="833">
        <v>0</v>
      </c>
      <c r="AP128" s="834"/>
      <c r="AQ128" s="834"/>
      <c r="AR128" s="839">
        <v>12.153288105042478</v>
      </c>
      <c r="AS128" s="833">
        <v>2.2878930920637197</v>
      </c>
      <c r="AT128" s="833">
        <v>9.8653950129787589</v>
      </c>
      <c r="AU128" s="833">
        <v>2.708865421003444</v>
      </c>
      <c r="AV128" s="832"/>
      <c r="AW128" s="839">
        <v>3.203050328889208</v>
      </c>
      <c r="AX128" s="833" t="s">
        <v>452</v>
      </c>
      <c r="AY128" s="837"/>
      <c r="AZ128" s="833">
        <v>3.203050328889208</v>
      </c>
      <c r="BA128" s="833">
        <v>0</v>
      </c>
    </row>
    <row r="129" spans="1:53">
      <c r="A129" s="764" t="s">
        <v>1076</v>
      </c>
      <c r="B129" s="764" t="s">
        <v>1076</v>
      </c>
      <c r="C129" s="896">
        <v>7.4431818181818182E-2</v>
      </c>
      <c r="D129" s="881">
        <v>6.2499999999999995E-3</v>
      </c>
      <c r="E129" s="881">
        <v>6.8181818181818177E-2</v>
      </c>
      <c r="F129" s="881">
        <v>2.840909090909091E-3</v>
      </c>
      <c r="G129" s="883"/>
      <c r="H129" s="882" t="s">
        <v>452</v>
      </c>
      <c r="I129" s="881" t="s">
        <v>452</v>
      </c>
      <c r="J129" s="884"/>
      <c r="K129" s="881" t="s">
        <v>452</v>
      </c>
      <c r="L129" s="881" t="s">
        <v>452</v>
      </c>
      <c r="M129" s="885"/>
      <c r="N129" s="885"/>
      <c r="O129" s="882">
        <v>6.5431104225627479</v>
      </c>
      <c r="P129" s="881">
        <v>0.5494214858640476</v>
      </c>
      <c r="Q129" s="881">
        <v>5.9936889366987005</v>
      </c>
      <c r="R129" s="881">
        <v>0.24973703902911254</v>
      </c>
      <c r="S129" s="883"/>
      <c r="T129" s="882" t="s">
        <v>452</v>
      </c>
      <c r="U129" s="881" t="s">
        <v>452</v>
      </c>
      <c r="V129" s="884"/>
      <c r="W129" s="881" t="s">
        <v>452</v>
      </c>
      <c r="X129" s="881" t="s">
        <v>452</v>
      </c>
      <c r="Z129" s="898"/>
      <c r="AA129" s="479" t="s">
        <v>1267</v>
      </c>
      <c r="AC129" s="717"/>
      <c r="AF129" s="839">
        <v>7.4431818181818182E-2</v>
      </c>
      <c r="AG129" s="833">
        <v>6.2499999999999995E-3</v>
      </c>
      <c r="AH129" s="833">
        <v>6.8181818181818177E-2</v>
      </c>
      <c r="AI129" s="833">
        <v>2.840909090909091E-3</v>
      </c>
      <c r="AJ129" s="832"/>
      <c r="AK129" s="839" t="s">
        <v>452</v>
      </c>
      <c r="AL129" s="833" t="s">
        <v>452</v>
      </c>
      <c r="AM129" s="837"/>
      <c r="AN129" s="833" t="s">
        <v>452</v>
      </c>
      <c r="AO129" s="833" t="s">
        <v>452</v>
      </c>
      <c r="AP129" s="834"/>
      <c r="AQ129" s="834"/>
      <c r="AR129" s="839">
        <v>6.5431104225627479</v>
      </c>
      <c r="AS129" s="833">
        <v>0.5494214858640476</v>
      </c>
      <c r="AT129" s="833">
        <v>5.9936889366987005</v>
      </c>
      <c r="AU129" s="833">
        <v>0.24973703902911254</v>
      </c>
      <c r="AV129" s="832"/>
      <c r="AW129" s="839" t="s">
        <v>452</v>
      </c>
      <c r="AX129" s="833" t="s">
        <v>452</v>
      </c>
      <c r="AY129" s="837"/>
      <c r="AZ129" s="833" t="s">
        <v>452</v>
      </c>
      <c r="BA129" s="833" t="s">
        <v>452</v>
      </c>
    </row>
    <row r="130" spans="1:53">
      <c r="A130" s="764" t="s">
        <v>1077</v>
      </c>
      <c r="B130" s="764" t="s">
        <v>1077</v>
      </c>
      <c r="C130" s="896">
        <v>0.4</v>
      </c>
      <c r="D130" s="881">
        <v>0.1</v>
      </c>
      <c r="E130" s="881">
        <v>0.3</v>
      </c>
      <c r="F130" s="881" t="s">
        <v>452</v>
      </c>
      <c r="G130" s="883"/>
      <c r="H130" s="882"/>
      <c r="I130" s="881"/>
      <c r="J130" s="884"/>
      <c r="K130" s="881" t="s">
        <v>452</v>
      </c>
      <c r="L130" s="881" t="s">
        <v>452</v>
      </c>
      <c r="M130" s="885"/>
      <c r="N130" s="885"/>
      <c r="O130" s="882">
        <v>0.5</v>
      </c>
      <c r="P130" s="881">
        <v>0.1</v>
      </c>
      <c r="Q130" s="881">
        <v>0.4</v>
      </c>
      <c r="R130" s="881" t="s">
        <v>452</v>
      </c>
      <c r="S130" s="883"/>
      <c r="T130" s="882"/>
      <c r="U130" s="881"/>
      <c r="V130" s="884"/>
      <c r="W130" s="881" t="s">
        <v>452</v>
      </c>
      <c r="X130" s="881" t="s">
        <v>452</v>
      </c>
      <c r="Z130" s="898"/>
      <c r="AA130" s="479" t="s">
        <v>1267</v>
      </c>
      <c r="AB130" s="479" t="s">
        <v>1318</v>
      </c>
      <c r="AC130" s="717"/>
      <c r="AF130" s="839">
        <v>0.918939312277676</v>
      </c>
      <c r="AG130" s="833">
        <v>0.25331464913226259</v>
      </c>
      <c r="AH130" s="833">
        <v>0.66562466314541346</v>
      </c>
      <c r="AI130" s="833" t="s">
        <v>452</v>
      </c>
      <c r="AJ130" s="832"/>
      <c r="AK130" s="839" t="s">
        <v>452</v>
      </c>
      <c r="AL130" s="833" t="s">
        <v>452</v>
      </c>
      <c r="AM130" s="837"/>
      <c r="AN130" s="833" t="s">
        <v>452</v>
      </c>
      <c r="AO130" s="833" t="s">
        <v>452</v>
      </c>
      <c r="AP130" s="834"/>
      <c r="AQ130" s="834"/>
      <c r="AR130" s="839">
        <v>1.1387168124157399</v>
      </c>
      <c r="AS130" s="833">
        <v>0.31389847614979344</v>
      </c>
      <c r="AT130" s="833">
        <v>0.82481833626594647</v>
      </c>
      <c r="AU130" s="833" t="s">
        <v>452</v>
      </c>
      <c r="AV130" s="832"/>
      <c r="AW130" s="839" t="s">
        <v>452</v>
      </c>
      <c r="AX130" s="833" t="s">
        <v>452</v>
      </c>
      <c r="AY130" s="837"/>
      <c r="AZ130" s="833" t="s">
        <v>452</v>
      </c>
      <c r="BA130" s="833" t="s">
        <v>452</v>
      </c>
    </row>
    <row r="131" spans="1:53">
      <c r="A131" s="764" t="s">
        <v>1078</v>
      </c>
      <c r="B131" s="764" t="s">
        <v>1078</v>
      </c>
      <c r="C131" s="896">
        <v>4.33333333333333E-2</v>
      </c>
      <c r="D131" s="881">
        <v>7.4074074074074068E-3</v>
      </c>
      <c r="E131" s="881">
        <v>3.5925925925925896E-2</v>
      </c>
      <c r="F131" s="881" t="s">
        <v>452</v>
      </c>
      <c r="G131" s="883"/>
      <c r="H131" s="882" t="s">
        <v>452</v>
      </c>
      <c r="I131" s="881" t="s">
        <v>452</v>
      </c>
      <c r="J131" s="884"/>
      <c r="K131" s="881" t="s">
        <v>452</v>
      </c>
      <c r="L131" s="881" t="s">
        <v>452</v>
      </c>
      <c r="M131" s="885"/>
      <c r="N131" s="885"/>
      <c r="O131" s="882">
        <v>3.5</v>
      </c>
      <c r="P131" s="881">
        <v>0.5</v>
      </c>
      <c r="Q131" s="881">
        <v>3</v>
      </c>
      <c r="R131" s="881" t="s">
        <v>452</v>
      </c>
      <c r="S131" s="883"/>
      <c r="T131" s="882" t="s">
        <v>452</v>
      </c>
      <c r="U131" s="881" t="s">
        <v>452</v>
      </c>
      <c r="V131" s="884"/>
      <c r="W131" s="881" t="s">
        <v>452</v>
      </c>
      <c r="X131" s="881" t="s">
        <v>452</v>
      </c>
      <c r="Z131" s="898"/>
      <c r="AA131" s="479" t="s">
        <v>1267</v>
      </c>
      <c r="AC131" s="717"/>
      <c r="AF131" s="839">
        <v>4.33333333333333E-2</v>
      </c>
      <c r="AG131" s="833">
        <v>7.4074074074074068E-3</v>
      </c>
      <c r="AH131" s="833">
        <v>3.5925925925925896E-2</v>
      </c>
      <c r="AI131" s="833" t="s">
        <v>452</v>
      </c>
      <c r="AJ131" s="832"/>
      <c r="AK131" s="839" t="s">
        <v>452</v>
      </c>
      <c r="AL131" s="833" t="s">
        <v>452</v>
      </c>
      <c r="AM131" s="837"/>
      <c r="AN131" s="833" t="s">
        <v>452</v>
      </c>
      <c r="AO131" s="833" t="s">
        <v>452</v>
      </c>
      <c r="AP131" s="834"/>
      <c r="AQ131" s="834"/>
      <c r="AR131" s="839">
        <v>3.5</v>
      </c>
      <c r="AS131" s="833">
        <v>0.5</v>
      </c>
      <c r="AT131" s="833">
        <v>3</v>
      </c>
      <c r="AU131" s="833" t="s">
        <v>452</v>
      </c>
      <c r="AV131" s="832"/>
      <c r="AW131" s="839" t="s">
        <v>452</v>
      </c>
      <c r="AX131" s="833" t="s">
        <v>452</v>
      </c>
      <c r="AY131" s="837"/>
      <c r="AZ131" s="833" t="s">
        <v>452</v>
      </c>
      <c r="BA131" s="833" t="s">
        <v>452</v>
      </c>
    </row>
    <row r="132" spans="1:53">
      <c r="A132" s="887" t="s">
        <v>1079</v>
      </c>
      <c r="B132" s="887" t="s">
        <v>1079</v>
      </c>
      <c r="C132" s="896">
        <v>6.2962962962962957E-2</v>
      </c>
      <c r="D132" s="881">
        <v>7.4074074074074068E-3</v>
      </c>
      <c r="E132" s="881">
        <v>5.5555555555555552E-2</v>
      </c>
      <c r="F132" s="881" t="s">
        <v>452</v>
      </c>
      <c r="G132" s="883"/>
      <c r="H132" s="882" t="s">
        <v>452</v>
      </c>
      <c r="I132" s="881" t="s">
        <v>452</v>
      </c>
      <c r="J132" s="884"/>
      <c r="K132" s="881" t="s">
        <v>452</v>
      </c>
      <c r="L132" s="881" t="s">
        <v>452</v>
      </c>
      <c r="M132" s="885"/>
      <c r="N132" s="885"/>
      <c r="O132" s="882">
        <v>3.8943607299688536</v>
      </c>
      <c r="P132" s="881">
        <v>0.45816008587868862</v>
      </c>
      <c r="Q132" s="881">
        <v>3.4362006440901651</v>
      </c>
      <c r="R132" s="881" t="s">
        <v>452</v>
      </c>
      <c r="S132" s="883"/>
      <c r="T132" s="882" t="s">
        <v>452</v>
      </c>
      <c r="U132" s="881" t="s">
        <v>452</v>
      </c>
      <c r="V132" s="884"/>
      <c r="W132" s="881" t="s">
        <v>452</v>
      </c>
      <c r="X132" s="881" t="s">
        <v>452</v>
      </c>
      <c r="Z132" s="898"/>
      <c r="AB132" s="514" t="s">
        <v>1284</v>
      </c>
      <c r="AC132" s="717"/>
      <c r="AF132" s="839">
        <v>6.2962962962962957E-2</v>
      </c>
      <c r="AG132" s="833">
        <v>7.4074074074074068E-3</v>
      </c>
      <c r="AH132" s="833">
        <v>5.5555555555555552E-2</v>
      </c>
      <c r="AI132" s="833" t="s">
        <v>452</v>
      </c>
      <c r="AJ132" s="832"/>
      <c r="AK132" s="839" t="s">
        <v>452</v>
      </c>
      <c r="AL132" s="833" t="s">
        <v>452</v>
      </c>
      <c r="AM132" s="837"/>
      <c r="AN132" s="833" t="s">
        <v>452</v>
      </c>
      <c r="AO132" s="833" t="s">
        <v>452</v>
      </c>
      <c r="AP132" s="834"/>
      <c r="AQ132" s="834"/>
      <c r="AR132" s="839">
        <v>3.8943607299688536</v>
      </c>
      <c r="AS132" s="833">
        <v>0.45816008587868862</v>
      </c>
      <c r="AT132" s="833">
        <v>3.4362006440901651</v>
      </c>
      <c r="AU132" s="833" t="s">
        <v>452</v>
      </c>
      <c r="AV132" s="832"/>
      <c r="AW132" s="839" t="s">
        <v>452</v>
      </c>
      <c r="AX132" s="833" t="s">
        <v>452</v>
      </c>
      <c r="AY132" s="837"/>
      <c r="AZ132" s="833" t="s">
        <v>452</v>
      </c>
      <c r="BA132" s="833" t="s">
        <v>452</v>
      </c>
    </row>
    <row r="133" spans="1:53">
      <c r="A133" s="764" t="s">
        <v>1080</v>
      </c>
      <c r="B133" s="764" t="s">
        <v>1080</v>
      </c>
      <c r="C133" s="896">
        <v>2.9629629629629627E-2</v>
      </c>
      <c r="D133" s="881">
        <v>3.7037037037037034E-3</v>
      </c>
      <c r="E133" s="881">
        <v>2.5925925925925925E-2</v>
      </c>
      <c r="F133" s="881" t="s">
        <v>452</v>
      </c>
      <c r="G133" s="883"/>
      <c r="H133" s="882" t="s">
        <v>452</v>
      </c>
      <c r="I133" s="881" t="s">
        <v>452</v>
      </c>
      <c r="J133" s="884"/>
      <c r="K133" s="881" t="s">
        <v>452</v>
      </c>
      <c r="L133" s="881" t="s">
        <v>452</v>
      </c>
      <c r="M133" s="885"/>
      <c r="N133" s="885"/>
      <c r="O133" s="882">
        <v>3.6694217908613056</v>
      </c>
      <c r="P133" s="881">
        <v>0.4586777238576632</v>
      </c>
      <c r="Q133" s="881">
        <v>3.2107440670036422</v>
      </c>
      <c r="R133" s="881" t="s">
        <v>452</v>
      </c>
      <c r="S133" s="883"/>
      <c r="T133" s="882" t="s">
        <v>452</v>
      </c>
      <c r="U133" s="881" t="s">
        <v>452</v>
      </c>
      <c r="V133" s="884"/>
      <c r="W133" s="881" t="s">
        <v>452</v>
      </c>
      <c r="X133" s="881" t="s">
        <v>452</v>
      </c>
      <c r="Z133" s="898"/>
      <c r="AA133" s="479" t="s">
        <v>1267</v>
      </c>
      <c r="AC133" s="717"/>
      <c r="AF133" s="839">
        <v>2.9629629629629627E-2</v>
      </c>
      <c r="AG133" s="833">
        <v>3.7037037037037034E-3</v>
      </c>
      <c r="AH133" s="833">
        <v>2.5925925925925925E-2</v>
      </c>
      <c r="AI133" s="833" t="s">
        <v>452</v>
      </c>
      <c r="AJ133" s="832"/>
      <c r="AK133" s="839" t="s">
        <v>452</v>
      </c>
      <c r="AL133" s="833" t="s">
        <v>452</v>
      </c>
      <c r="AM133" s="837"/>
      <c r="AN133" s="833" t="s">
        <v>452</v>
      </c>
      <c r="AO133" s="833" t="s">
        <v>452</v>
      </c>
      <c r="AP133" s="834"/>
      <c r="AQ133" s="834"/>
      <c r="AR133" s="839">
        <v>3.6694217908613056</v>
      </c>
      <c r="AS133" s="833">
        <v>0.4586777238576632</v>
      </c>
      <c r="AT133" s="833">
        <v>3.2107440670036422</v>
      </c>
      <c r="AU133" s="833" t="s">
        <v>452</v>
      </c>
      <c r="AV133" s="832"/>
      <c r="AW133" s="839" t="s">
        <v>452</v>
      </c>
      <c r="AX133" s="833" t="s">
        <v>452</v>
      </c>
      <c r="AY133" s="837"/>
      <c r="AZ133" s="833" t="s">
        <v>452</v>
      </c>
      <c r="BA133" s="833" t="s">
        <v>452</v>
      </c>
    </row>
    <row r="134" spans="1:53">
      <c r="A134" s="764" t="s">
        <v>559</v>
      </c>
      <c r="B134" s="764" t="s">
        <v>559</v>
      </c>
      <c r="C134" s="896" t="str">
        <f>IF(ISNUMBER(INDEX('Database.Jan 12 to SEC'!$G$6:$G$191, MATCH($A134&amp;"USD bn", 'Database.Jan 12 to SEC'!$AD$6:$AD$191, 0))), INDEX('Database.Jan 12 to SEC'!$G$6:$G$191, MATCH($A134&amp;"USD bn", 'Database.Jan 12 to SEC'!$AD$6:$AD$191, 0)), "")</f>
        <v/>
      </c>
      <c r="D134" s="881" t="str">
        <f>IF(ISNUMBER(INDEX('Database.Jan 12 to SEC'!$H$6:$H$191, MATCH($A134&amp;"USD bn", 'Database.Jan 12 to SEC'!$AD$6:$AD$191, 0))), INDEX('Database.Jan 12 to SEC'!$H$6:$H$191, MATCH($A134&amp;"USD bn", 'Database.Jan 12 to SEC'!$AD$6:$AD$191, 0)), "")</f>
        <v/>
      </c>
      <c r="E134" s="881" t="str">
        <f>IF(ISNUMBER(INDEX('Database.Jan 12 to SEC'!$J$6:$J$191, MATCH($A134&amp;"USD bn", 'Database.Jan 12 to SEC'!$AD$6:$AD$191, 0))), INDEX('Database.Jan 12 to SEC'!$J$6:$J$191, MATCH($A134&amp;"USD bn", 'Database.Jan 12 to SEC'!$AD$6:$AD$191, 0)), "")</f>
        <v/>
      </c>
      <c r="F134" s="881" t="str">
        <f>IF(ISNUMBER(INDEX('Database.Jan 12 to SEC'!$L$6:$L$191, MATCH($A134&amp;"USD bn", 'Database.Jan 12 to SEC'!$AD$6:$AD$191, 0))), INDEX('Database.Jan 12 to SEC'!$L$6:$L$191, MATCH($A134&amp;"USD bn", 'Database.Jan 12 to SEC'!$AD$6:$AD$191, 0)), "")</f>
        <v/>
      </c>
      <c r="G134" s="883"/>
      <c r="H134" s="882" t="str">
        <f>IF(ISNUMBER(INDEX('Database.Jan 12 to SEC'!$P$6:$P$191, MATCH($A134&amp;"USD bn", 'Database.Jan 12 to SEC'!$AD$6:$AD$191, 0))), INDEX('Database.Jan 12 to SEC'!$P$6:$P$191, MATCH($A134&amp;"USD bn", 'Database.Jan 12 to SEC'!$AD$6:$AD$191, 0)), "")</f>
        <v/>
      </c>
      <c r="I134" s="881" t="str">
        <f>IF(ISNUMBER(INDEX('Database.Jan 12 to SEC'!$Q$6:$Q$191, MATCH($A134&amp;"USD bn", 'Database.Jan 12 to SEC'!$AD$6:$AD$191, 0))), INDEX('Database.Jan 12 to SEC'!$Q$6:$Q$191, MATCH($A134&amp;"USD bn", 'Database.Jan 12 to SEC'!$AD$6:$AD$191, 0)), "")</f>
        <v/>
      </c>
      <c r="J134" s="884"/>
      <c r="K134" s="881" t="str">
        <f>IF(ISNUMBER(INDEX('Database.Jan 12 to SEC'!$U$6:$U$191, MATCH($A134&amp;"USD bn", 'Database.Jan 12 to SEC'!$AD$6:$AD$191, 0))), INDEX('Database.Jan 12 to SEC'!$U$6:$U$191, MATCH($A134&amp;"USD bn", 'Database.Jan 12 to SEC'!$AD$6:$AD$191, 0)), "")</f>
        <v/>
      </c>
      <c r="L134" s="881" t="str">
        <f>IF(ISNUMBER(INDEX('Database.Jan 12 to SEC'!$W$6:$W$191, MATCH($A134&amp;"USD bn", 'Database.Jan 12 to SEC'!$AD$6:$AD$191, 0))), INDEX('Database.Jan 12 to SEC'!$W$6:$W$191, MATCH($A134&amp;"USD bn", 'Database.Jan 12 to SEC'!$AD$6:$AD$191, 0)), "")</f>
        <v/>
      </c>
      <c r="M134" s="885"/>
      <c r="N134" s="885"/>
      <c r="O134" s="882" t="str">
        <f>IF(ISNUMBER(INDEX('Database.Jan 12 to SEC'!$G$6:$G$191, MATCH($A134&amp;"% GDP", 'Database.Jan 12 to SEC'!$AD$6:$AD$191, 0))), INDEX('Database.Jan 12 to SEC'!$G$6:$G$191, MATCH($A134&amp;"% GDP", 'Database.Jan 12 to SEC'!$AD$6:$AD$191, 0)), "")</f>
        <v/>
      </c>
      <c r="P134" s="881" t="str">
        <f>IF(ISNUMBER(INDEX('Database.Jan 12 to SEC'!$H$6:$H$191, MATCH($A134&amp;"% GDP", 'Database.Jan 12 to SEC'!$AD$6:$AD$191, 0))), INDEX('Database.Jan 12 to SEC'!$H$6:$H$191, MATCH($A134&amp;"% GDP", 'Database.Jan 12 to SEC'!$AD$6:$AD$191, 0)), "")</f>
        <v/>
      </c>
      <c r="Q134" s="881" t="str">
        <f>IF(ISNUMBER(INDEX('Database.Jan 12 to SEC'!$J$6:$J$191, MATCH($A134&amp;"% GDP", 'Database.Jan 12 to SEC'!$AD$6:$AD$191, 0))), INDEX('Database.Jan 12 to SEC'!$J$6:$J$191, MATCH($A134&amp;"% GDP", 'Database.Jan 12 to SEC'!$AD$6:$AD$191, 0)), "")</f>
        <v/>
      </c>
      <c r="R134" s="881" t="str">
        <f>IF(ISNUMBER(INDEX('Database.Jan 12 to SEC'!$L$6:$L$191, MATCH($A134&amp;"% GDP", 'Database.Jan 12 to SEC'!$AD$6:$AD$191, 0))), INDEX('Database.Jan 12 to SEC'!$L$6:$L$191, MATCH($A134&amp;"% GDP", 'Database.Jan 12 to SEC'!$AD$6:$AD$191, 0)), "")</f>
        <v/>
      </c>
      <c r="S134" s="883"/>
      <c r="T134" s="882" t="str">
        <f>IF(ISNUMBER(INDEX('Database.Jan 12 to SEC'!$P$6:$P$191, MATCH($A134&amp;"% GDP", 'Database.Jan 12 to SEC'!$AD$6:$AD$191, 0))), INDEX('Database.Jan 12 to SEC'!$P$6:$P$191, MATCH($A134&amp;"% GDP", 'Database.Jan 12 to SEC'!$AD$6:$AD$191, 0)), "")</f>
        <v/>
      </c>
      <c r="U134" s="881" t="str">
        <f>IF(ISNUMBER(INDEX('Database.Jan 12 to SEC'!$Q$6:$Q$191, MATCH($A134&amp;"% GDP", 'Database.Jan 12 to SEC'!$AD$6:$AD$191, 0))), INDEX('Database.Jan 12 to SEC'!$Q$6:$Q$191, MATCH($A134&amp;"% GDP", 'Database.Jan 12 to SEC'!$AD$6:$AD$191, 0)), "")</f>
        <v/>
      </c>
      <c r="V134" s="884"/>
      <c r="W134" s="881" t="str">
        <f>IF(ISNUMBER(INDEX('Database.Jan 12 to SEC'!$U$6:$U$191, MATCH($A134&amp;"% GDP", 'Database.Jan 12 to SEC'!$AD$6:$AD$191, 0))), INDEX('Database.Jan 12 to SEC'!$U$6:$U$191, MATCH($A134&amp;"% GDP", 'Database.Jan 12 to SEC'!$AD$6:$AD$191, 0)), "")</f>
        <v/>
      </c>
      <c r="X134" s="881" t="str">
        <f>IF(ISNUMBER(INDEX('Database.Jan 12 to SEC'!$W$6:$W$191, MATCH($A134&amp;"% GDP", 'Database.Jan 12 to SEC'!$AD$6:$AD$191, 0))), INDEX('Database.Jan 12 to SEC'!$W$6:$W$191, MATCH($A134&amp;"% GDP", 'Database.Jan 12 to SEC'!$AD$6:$AD$191, 0)), "")</f>
        <v/>
      </c>
      <c r="Z134" s="898"/>
      <c r="AA134" s="479" t="s">
        <v>1265</v>
      </c>
      <c r="AC134" s="562"/>
      <c r="AF134" s="839">
        <v>73.187651709336336</v>
      </c>
      <c r="AG134" s="833" t="s">
        <v>452</v>
      </c>
      <c r="AH134" s="833" t="s">
        <v>452</v>
      </c>
      <c r="AI134" s="833" t="s">
        <v>452</v>
      </c>
      <c r="AJ134" s="832"/>
      <c r="AK134" s="839">
        <v>21.253182701619505</v>
      </c>
      <c r="AL134" s="833">
        <v>2.8763705911966246</v>
      </c>
      <c r="AM134" s="837"/>
      <c r="AN134" s="833">
        <v>10.386893801543367</v>
      </c>
      <c r="AO134" s="833">
        <v>7.9899183088795134</v>
      </c>
      <c r="AP134" s="834"/>
      <c r="AQ134" s="834"/>
      <c r="AR134" s="839">
        <v>14.587579816038515</v>
      </c>
      <c r="AS134" s="833" t="s">
        <v>452</v>
      </c>
      <c r="AT134" s="833" t="s">
        <v>452</v>
      </c>
      <c r="AU134" s="833" t="s">
        <v>452</v>
      </c>
      <c r="AV134" s="832"/>
      <c r="AW134" s="839">
        <v>4.2361312566225386</v>
      </c>
      <c r="AX134" s="833">
        <v>0.57331099713688494</v>
      </c>
      <c r="AY134" s="837"/>
      <c r="AZ134" s="833">
        <v>2.0702897118831953</v>
      </c>
      <c r="BA134" s="833">
        <v>1.592530547602458</v>
      </c>
    </row>
    <row r="135" spans="1:53">
      <c r="A135" s="764" t="s">
        <v>1081</v>
      </c>
      <c r="B135" s="764" t="s">
        <v>1081</v>
      </c>
      <c r="C135" s="896">
        <v>3.0926259678155699E-2</v>
      </c>
      <c r="D135" s="881">
        <v>8.8360741937587705E-3</v>
      </c>
      <c r="E135" s="881">
        <v>2.2090185484396931E-2</v>
      </c>
      <c r="F135" s="881" t="s">
        <v>452</v>
      </c>
      <c r="G135" s="883"/>
      <c r="H135" s="882" t="s">
        <v>452</v>
      </c>
      <c r="I135" s="881" t="s">
        <v>452</v>
      </c>
      <c r="J135" s="884"/>
      <c r="K135" s="881" t="s">
        <v>452</v>
      </c>
      <c r="L135" s="881" t="s">
        <v>452</v>
      </c>
      <c r="M135" s="885"/>
      <c r="N135" s="885"/>
      <c r="O135" s="882">
        <v>5.8</v>
      </c>
      <c r="P135" s="881">
        <v>2.1</v>
      </c>
      <c r="Q135" s="881">
        <v>3.6999999999999997</v>
      </c>
      <c r="R135" s="881" t="s">
        <v>452</v>
      </c>
      <c r="S135" s="883"/>
      <c r="T135" s="882" t="s">
        <v>452</v>
      </c>
      <c r="U135" s="881" t="s">
        <v>452</v>
      </c>
      <c r="V135" s="884"/>
      <c r="W135" s="881" t="s">
        <v>452</v>
      </c>
      <c r="X135" s="881" t="s">
        <v>452</v>
      </c>
      <c r="Z135" s="898"/>
      <c r="AA135" s="479" t="s">
        <v>1267</v>
      </c>
      <c r="AC135" s="717"/>
      <c r="AF135" s="839">
        <v>3.0926259678155699E-2</v>
      </c>
      <c r="AG135" s="833">
        <v>8.8360741937587705E-3</v>
      </c>
      <c r="AH135" s="833">
        <v>2.2090185484396931E-2</v>
      </c>
      <c r="AI135" s="833" t="s">
        <v>452</v>
      </c>
      <c r="AJ135" s="832"/>
      <c r="AK135" s="839" t="s">
        <v>452</v>
      </c>
      <c r="AL135" s="833" t="s">
        <v>452</v>
      </c>
      <c r="AM135" s="837"/>
      <c r="AN135" s="833" t="s">
        <v>452</v>
      </c>
      <c r="AO135" s="833" t="s">
        <v>452</v>
      </c>
      <c r="AP135" s="834"/>
      <c r="AQ135" s="834"/>
      <c r="AR135" s="839">
        <v>5.8</v>
      </c>
      <c r="AS135" s="833">
        <v>2.1</v>
      </c>
      <c r="AT135" s="833">
        <v>3.6999999999999997</v>
      </c>
      <c r="AU135" s="833" t="s">
        <v>452</v>
      </c>
      <c r="AV135" s="832"/>
      <c r="AW135" s="839" t="s">
        <v>452</v>
      </c>
      <c r="AX135" s="833" t="s">
        <v>452</v>
      </c>
      <c r="AY135" s="837"/>
      <c r="AZ135" s="833" t="s">
        <v>452</v>
      </c>
      <c r="BA135" s="833" t="s">
        <v>452</v>
      </c>
    </row>
    <row r="136" spans="1:53">
      <c r="A136" s="764" t="s">
        <v>1082</v>
      </c>
      <c r="B136" s="764" t="s">
        <v>1082</v>
      </c>
      <c r="C136" s="896">
        <v>0.56287518052593843</v>
      </c>
      <c r="D136" s="881">
        <v>2.3700007601092147E-2</v>
      </c>
      <c r="E136" s="881">
        <v>0.53917517292484629</v>
      </c>
      <c r="F136" s="881" t="s">
        <v>452</v>
      </c>
      <c r="G136" s="883"/>
      <c r="H136" s="882" t="s">
        <v>452</v>
      </c>
      <c r="I136" s="881" t="s">
        <v>452</v>
      </c>
      <c r="J136" s="884"/>
      <c r="K136" s="881" t="s">
        <v>452</v>
      </c>
      <c r="L136" s="881" t="s">
        <v>452</v>
      </c>
      <c r="M136" s="885"/>
      <c r="N136" s="885"/>
      <c r="O136" s="882">
        <v>2.6074852925920262</v>
      </c>
      <c r="P136" s="881">
        <v>0.10978885442492743</v>
      </c>
      <c r="Q136" s="881">
        <v>2.497696438167099</v>
      </c>
      <c r="R136" s="881" t="s">
        <v>452</v>
      </c>
      <c r="S136" s="883"/>
      <c r="T136" s="882" t="s">
        <v>452</v>
      </c>
      <c r="U136" s="881" t="s">
        <v>452</v>
      </c>
      <c r="V136" s="884"/>
      <c r="W136" s="881" t="s">
        <v>452</v>
      </c>
      <c r="X136" s="881" t="s">
        <v>452</v>
      </c>
      <c r="Z136" s="898"/>
      <c r="AA136" s="479" t="s">
        <v>1267</v>
      </c>
      <c r="AC136" s="717"/>
      <c r="AF136" s="839">
        <v>0.56287518052593843</v>
      </c>
      <c r="AG136" s="833">
        <v>2.3700007601092147E-2</v>
      </c>
      <c r="AH136" s="833">
        <v>0.53917517292484629</v>
      </c>
      <c r="AI136" s="833" t="s">
        <v>452</v>
      </c>
      <c r="AJ136" s="832"/>
      <c r="AK136" s="839" t="s">
        <v>452</v>
      </c>
      <c r="AL136" s="833" t="s">
        <v>452</v>
      </c>
      <c r="AM136" s="837"/>
      <c r="AN136" s="833" t="s">
        <v>452</v>
      </c>
      <c r="AO136" s="833" t="s">
        <v>452</v>
      </c>
      <c r="AP136" s="834"/>
      <c r="AQ136" s="834"/>
      <c r="AR136" s="839">
        <v>2.6074852925920262</v>
      </c>
      <c r="AS136" s="833">
        <v>0.10978885442492743</v>
      </c>
      <c r="AT136" s="833">
        <v>2.497696438167099</v>
      </c>
      <c r="AU136" s="833" t="s">
        <v>452</v>
      </c>
      <c r="AV136" s="832"/>
      <c r="AW136" s="839" t="s">
        <v>452</v>
      </c>
      <c r="AX136" s="833" t="s">
        <v>452</v>
      </c>
      <c r="AY136" s="837"/>
      <c r="AZ136" s="833" t="s">
        <v>452</v>
      </c>
      <c r="BA136" s="833" t="s">
        <v>452</v>
      </c>
    </row>
    <row r="137" spans="1:53">
      <c r="A137" s="764" t="s">
        <v>30</v>
      </c>
      <c r="B137" s="764" t="s">
        <v>30</v>
      </c>
      <c r="C137" s="896" t="str">
        <f>IF(ISNUMBER(INDEX('Database.Jan 12 to SEC'!$G$6:$G$191, MATCH($A137&amp;"USD bn", 'Database.Jan 12 to SEC'!$AD$6:$AD$191, 0))), INDEX('Database.Jan 12 to SEC'!$G$6:$G$191, MATCH($A137&amp;"USD bn", 'Database.Jan 12 to SEC'!$AD$6:$AD$191, 0)), "")</f>
        <v/>
      </c>
      <c r="D137" s="881" t="str">
        <f>IF(ISNUMBER(INDEX('Database.Jan 12 to SEC'!$H$6:$H$191, MATCH($A137&amp;"USD bn", 'Database.Jan 12 to SEC'!$AD$6:$AD$191, 0))), INDEX('Database.Jan 12 to SEC'!$H$6:$H$191, MATCH($A137&amp;"USD bn", 'Database.Jan 12 to SEC'!$AD$6:$AD$191, 0)), "")</f>
        <v/>
      </c>
      <c r="E137" s="881" t="str">
        <f>IF(ISNUMBER(INDEX('Database.Jan 12 to SEC'!$J$6:$J$191, MATCH($A137&amp;"USD bn", 'Database.Jan 12 to SEC'!$AD$6:$AD$191, 0))), INDEX('Database.Jan 12 to SEC'!$J$6:$J$191, MATCH($A137&amp;"USD bn", 'Database.Jan 12 to SEC'!$AD$6:$AD$191, 0)), "")</f>
        <v/>
      </c>
      <c r="F137" s="881" t="str">
        <f>IF(ISNUMBER(INDEX('Database.Jan 12 to SEC'!$L$6:$L$191, MATCH($A137&amp;"USD bn", 'Database.Jan 12 to SEC'!$AD$6:$AD$191, 0))), INDEX('Database.Jan 12 to SEC'!$L$6:$L$191, MATCH($A137&amp;"USD bn", 'Database.Jan 12 to SEC'!$AD$6:$AD$191, 0)), "")</f>
        <v/>
      </c>
      <c r="G137" s="883"/>
      <c r="H137" s="882" t="str">
        <f>IF(ISNUMBER(INDEX('Database.Jan 12 to SEC'!$P$6:$P$191, MATCH($A137&amp;"USD bn", 'Database.Jan 12 to SEC'!$AD$6:$AD$191, 0))), INDEX('Database.Jan 12 to SEC'!$P$6:$P$191, MATCH($A137&amp;"USD bn", 'Database.Jan 12 to SEC'!$AD$6:$AD$191, 0)), "")</f>
        <v/>
      </c>
      <c r="I137" s="881" t="str">
        <f>IF(ISNUMBER(INDEX('Database.Jan 12 to SEC'!$Q$6:$Q$191, MATCH($A137&amp;"USD bn", 'Database.Jan 12 to SEC'!$AD$6:$AD$191, 0))), INDEX('Database.Jan 12 to SEC'!$Q$6:$Q$191, MATCH($A137&amp;"USD bn", 'Database.Jan 12 to SEC'!$AD$6:$AD$191, 0)), "")</f>
        <v/>
      </c>
      <c r="J137" s="884"/>
      <c r="K137" s="881" t="str">
        <f>IF(ISNUMBER(INDEX('Database.Jan 12 to SEC'!$U$6:$U$191, MATCH($A137&amp;"USD bn", 'Database.Jan 12 to SEC'!$AD$6:$AD$191, 0))), INDEX('Database.Jan 12 to SEC'!$U$6:$U$191, MATCH($A137&amp;"USD bn", 'Database.Jan 12 to SEC'!$AD$6:$AD$191, 0)), "")</f>
        <v/>
      </c>
      <c r="L137" s="881" t="str">
        <f>IF(ISNUMBER(INDEX('Database.Jan 12 to SEC'!$W$6:$W$191, MATCH($A137&amp;"USD bn", 'Database.Jan 12 to SEC'!$AD$6:$AD$191, 0))), INDEX('Database.Jan 12 to SEC'!$W$6:$W$191, MATCH($A137&amp;"USD bn", 'Database.Jan 12 to SEC'!$AD$6:$AD$191, 0)), "")</f>
        <v/>
      </c>
      <c r="M137" s="885"/>
      <c r="N137" s="885"/>
      <c r="O137" s="882" t="str">
        <f>IF(ISNUMBER(INDEX('Database.Jan 12 to SEC'!$G$6:$G$191, MATCH($A137&amp;"% GDP", 'Database.Jan 12 to SEC'!$AD$6:$AD$191, 0))), INDEX('Database.Jan 12 to SEC'!$G$6:$G$191, MATCH($A137&amp;"% GDP", 'Database.Jan 12 to SEC'!$AD$6:$AD$191, 0)), "")</f>
        <v/>
      </c>
      <c r="P137" s="881" t="str">
        <f>IF(ISNUMBER(INDEX('Database.Jan 12 to SEC'!$H$6:$H$191, MATCH($A137&amp;"% GDP", 'Database.Jan 12 to SEC'!$AD$6:$AD$191, 0))), INDEX('Database.Jan 12 to SEC'!$H$6:$H$191, MATCH($A137&amp;"% GDP", 'Database.Jan 12 to SEC'!$AD$6:$AD$191, 0)), "")</f>
        <v/>
      </c>
      <c r="Q137" s="881" t="str">
        <f>IF(ISNUMBER(INDEX('Database.Jan 12 to SEC'!$J$6:$J$191, MATCH($A137&amp;"% GDP", 'Database.Jan 12 to SEC'!$AD$6:$AD$191, 0))), INDEX('Database.Jan 12 to SEC'!$J$6:$J$191, MATCH($A137&amp;"% GDP", 'Database.Jan 12 to SEC'!$AD$6:$AD$191, 0)), "")</f>
        <v/>
      </c>
      <c r="R137" s="881" t="str">
        <f>IF(ISNUMBER(INDEX('Database.Jan 12 to SEC'!$L$6:$L$191, MATCH($A137&amp;"% GDP", 'Database.Jan 12 to SEC'!$AD$6:$AD$191, 0))), INDEX('Database.Jan 12 to SEC'!$L$6:$L$191, MATCH($A137&amp;"% GDP", 'Database.Jan 12 to SEC'!$AD$6:$AD$191, 0)), "")</f>
        <v/>
      </c>
      <c r="S137" s="883"/>
      <c r="T137" s="882" t="str">
        <f>IF(ISNUMBER(INDEX('Database.Jan 12 to SEC'!$P$6:$P$191, MATCH($A137&amp;"% GDP", 'Database.Jan 12 to SEC'!$AD$6:$AD$191, 0))), INDEX('Database.Jan 12 to SEC'!$P$6:$P$191, MATCH($A137&amp;"% GDP", 'Database.Jan 12 to SEC'!$AD$6:$AD$191, 0)), "")</f>
        <v/>
      </c>
      <c r="U137" s="881" t="str">
        <f>IF(ISNUMBER(INDEX('Database.Jan 12 to SEC'!$Q$6:$Q$191, MATCH($A137&amp;"% GDP", 'Database.Jan 12 to SEC'!$AD$6:$AD$191, 0))), INDEX('Database.Jan 12 to SEC'!$Q$6:$Q$191, MATCH($A137&amp;"% GDP", 'Database.Jan 12 to SEC'!$AD$6:$AD$191, 0)), "")</f>
        <v/>
      </c>
      <c r="V137" s="884"/>
      <c r="W137" s="881" t="str">
        <f>IF(ISNUMBER(INDEX('Database.Jan 12 to SEC'!$U$6:$U$191, MATCH($A137&amp;"% GDP", 'Database.Jan 12 to SEC'!$AD$6:$AD$191, 0))), INDEX('Database.Jan 12 to SEC'!$U$6:$U$191, MATCH($A137&amp;"% GDP", 'Database.Jan 12 to SEC'!$AD$6:$AD$191, 0)), "")</f>
        <v/>
      </c>
      <c r="X137" s="881" t="str">
        <f>IF(ISNUMBER(INDEX('Database.Jan 12 to SEC'!$W$6:$W$191, MATCH($A137&amp;"% GDP", 'Database.Jan 12 to SEC'!$AD$6:$AD$191, 0))), INDEX('Database.Jan 12 to SEC'!$W$6:$W$191, MATCH($A137&amp;"% GDP", 'Database.Jan 12 to SEC'!$AD$6:$AD$191, 0)), "")</f>
        <v/>
      </c>
      <c r="Z137" s="898"/>
      <c r="AA137" s="479" t="s">
        <v>1267</v>
      </c>
      <c r="AC137" s="562"/>
      <c r="AF137" s="839">
        <v>1.0614213919969644</v>
      </c>
      <c r="AG137" s="833">
        <v>0.14045609709842577</v>
      </c>
      <c r="AH137" s="833">
        <v>0.92096529489853862</v>
      </c>
      <c r="AI137" s="833">
        <v>0.1066755167836145</v>
      </c>
      <c r="AJ137" s="832"/>
      <c r="AK137" s="839">
        <v>0.32002655035084349</v>
      </c>
      <c r="AL137" s="833">
        <v>0.24890953916176717</v>
      </c>
      <c r="AM137" s="837"/>
      <c r="AN137" s="833">
        <v>7.1117011189076346E-2</v>
      </c>
      <c r="AO137" s="833" t="s">
        <v>452</v>
      </c>
      <c r="AP137" s="834"/>
      <c r="AQ137" s="834"/>
      <c r="AR137" s="839">
        <v>2.7063675838678867</v>
      </c>
      <c r="AS137" s="833">
        <v>0.35812904376141214</v>
      </c>
      <c r="AT137" s="833">
        <v>2.3482385401064745</v>
      </c>
      <c r="AU137" s="833">
        <v>0.27199674209727503</v>
      </c>
      <c r="AV137" s="832"/>
      <c r="AW137" s="839">
        <v>0.81599022629182516</v>
      </c>
      <c r="AX137" s="833">
        <v>0.63465906489364177</v>
      </c>
      <c r="AY137" s="837"/>
      <c r="AZ137" s="833">
        <v>0.18133116139818339</v>
      </c>
      <c r="BA137" s="833" t="s">
        <v>452</v>
      </c>
    </row>
    <row r="138" spans="1:53">
      <c r="A138" s="764" t="s">
        <v>1083</v>
      </c>
      <c r="B138" s="764" t="s">
        <v>1083</v>
      </c>
      <c r="C138" s="896">
        <v>1.1428571428571429E-2</v>
      </c>
      <c r="D138" s="881">
        <v>1.1428571428571429E-2</v>
      </c>
      <c r="E138" s="881">
        <v>0</v>
      </c>
      <c r="F138" s="881" t="s">
        <v>452</v>
      </c>
      <c r="G138" s="883"/>
      <c r="H138" s="882">
        <v>1.1428571428571429E-2</v>
      </c>
      <c r="I138" s="881">
        <v>1.1428571428571429E-2</v>
      </c>
      <c r="J138" s="884"/>
      <c r="K138" s="881" t="s">
        <v>452</v>
      </c>
      <c r="L138" s="881" t="s">
        <v>452</v>
      </c>
      <c r="M138" s="885"/>
      <c r="N138" s="885"/>
      <c r="O138" s="882">
        <v>2.5057923503650562E-2</v>
      </c>
      <c r="P138" s="881">
        <v>2.5057923503650562E-2</v>
      </c>
      <c r="Q138" s="881">
        <v>0</v>
      </c>
      <c r="R138" s="881" t="s">
        <v>452</v>
      </c>
      <c r="S138" s="883"/>
      <c r="T138" s="882">
        <v>2.5057923503650562E-2</v>
      </c>
      <c r="U138" s="881">
        <v>2.5057923503650562E-2</v>
      </c>
      <c r="V138" s="884"/>
      <c r="W138" s="881" t="s">
        <v>452</v>
      </c>
      <c r="X138" s="881" t="s">
        <v>452</v>
      </c>
      <c r="Z138" s="898"/>
      <c r="AA138" s="479" t="s">
        <v>1267</v>
      </c>
      <c r="AC138" s="717"/>
      <c r="AF138" s="839">
        <v>1.1428571428571429E-2</v>
      </c>
      <c r="AG138" s="833">
        <v>1.1428571428571429E-2</v>
      </c>
      <c r="AH138" s="833">
        <v>0</v>
      </c>
      <c r="AI138" s="833" t="s">
        <v>452</v>
      </c>
      <c r="AJ138" s="832"/>
      <c r="AK138" s="839">
        <v>1.1428571428571429E-2</v>
      </c>
      <c r="AL138" s="833">
        <v>1.1428571428571429E-2</v>
      </c>
      <c r="AM138" s="837"/>
      <c r="AN138" s="833" t="s">
        <v>452</v>
      </c>
      <c r="AO138" s="833" t="s">
        <v>452</v>
      </c>
      <c r="AP138" s="834"/>
      <c r="AQ138" s="834"/>
      <c r="AR138" s="839">
        <v>2.5057923503650562E-2</v>
      </c>
      <c r="AS138" s="833">
        <v>2.5057923503650562E-2</v>
      </c>
      <c r="AT138" s="833">
        <v>0</v>
      </c>
      <c r="AU138" s="833" t="s">
        <v>452</v>
      </c>
      <c r="AV138" s="832"/>
      <c r="AW138" s="839">
        <v>2.5057923503650562E-2</v>
      </c>
      <c r="AX138" s="833">
        <v>2.5057923503650562E-2</v>
      </c>
      <c r="AY138" s="837"/>
      <c r="AZ138" s="833" t="s">
        <v>452</v>
      </c>
      <c r="BA138" s="833" t="s">
        <v>452</v>
      </c>
    </row>
    <row r="139" spans="1:53">
      <c r="A139" s="764" t="s">
        <v>1250</v>
      </c>
      <c r="B139" s="764" t="s">
        <v>1250</v>
      </c>
      <c r="C139" s="896">
        <v>6.9042244149570406E-3</v>
      </c>
      <c r="D139" s="881">
        <v>0</v>
      </c>
      <c r="E139" s="881">
        <v>6.9042244149570406E-3</v>
      </c>
      <c r="F139" s="881">
        <v>6.9042244149570406E-3</v>
      </c>
      <c r="G139" s="883"/>
      <c r="H139" s="882" t="s">
        <v>452</v>
      </c>
      <c r="I139" s="881" t="s">
        <v>452</v>
      </c>
      <c r="J139" s="884"/>
      <c r="K139" s="881" t="s">
        <v>452</v>
      </c>
      <c r="L139" s="881" t="s">
        <v>452</v>
      </c>
      <c r="M139" s="885"/>
      <c r="N139" s="885"/>
      <c r="O139" s="882">
        <v>12.555192867305207</v>
      </c>
      <c r="P139" s="881">
        <v>0</v>
      </c>
      <c r="Q139" s="881">
        <v>12.555192867305207</v>
      </c>
      <c r="R139" s="881">
        <v>12.555192867305207</v>
      </c>
      <c r="S139" s="883"/>
      <c r="T139" s="882" t="s">
        <v>452</v>
      </c>
      <c r="U139" s="881" t="s">
        <v>452</v>
      </c>
      <c r="V139" s="884"/>
      <c r="W139" s="881" t="s">
        <v>452</v>
      </c>
      <c r="X139" s="881" t="s">
        <v>452</v>
      </c>
      <c r="Z139" s="898"/>
      <c r="AA139" s="479" t="s">
        <v>1267</v>
      </c>
      <c r="AC139" s="717"/>
      <c r="AF139" s="839">
        <v>6.9042244149570406E-3</v>
      </c>
      <c r="AG139" s="833">
        <v>0</v>
      </c>
      <c r="AH139" s="833">
        <v>6.9042244149570406E-3</v>
      </c>
      <c r="AI139" s="833">
        <v>6.9042244149570406E-3</v>
      </c>
      <c r="AJ139" s="832"/>
      <c r="AK139" s="839" t="s">
        <v>452</v>
      </c>
      <c r="AL139" s="833" t="s">
        <v>452</v>
      </c>
      <c r="AM139" s="837"/>
      <c r="AN139" s="833" t="s">
        <v>452</v>
      </c>
      <c r="AO139" s="833" t="s">
        <v>452</v>
      </c>
      <c r="AP139" s="834"/>
      <c r="AQ139" s="834"/>
      <c r="AR139" s="839">
        <v>12.555192867305207</v>
      </c>
      <c r="AS139" s="833">
        <v>0</v>
      </c>
      <c r="AT139" s="833">
        <v>12.555192867305207</v>
      </c>
      <c r="AU139" s="833">
        <v>12.555192867305207</v>
      </c>
      <c r="AV139" s="832"/>
      <c r="AW139" s="839" t="s">
        <v>452</v>
      </c>
      <c r="AX139" s="833" t="s">
        <v>452</v>
      </c>
      <c r="AY139" s="837"/>
      <c r="AZ139" s="833" t="s">
        <v>452</v>
      </c>
      <c r="BA139" s="833" t="s">
        <v>452</v>
      </c>
    </row>
    <row r="140" spans="1:53">
      <c r="A140" s="764" t="s">
        <v>1084</v>
      </c>
      <c r="B140" s="764" t="s">
        <v>1084</v>
      </c>
      <c r="C140" s="896">
        <v>5.2719285298025849</v>
      </c>
      <c r="D140" s="881">
        <v>1.8968569270969242</v>
      </c>
      <c r="E140" s="881">
        <v>3.3750716027056606</v>
      </c>
      <c r="F140" s="881" t="s">
        <v>452</v>
      </c>
      <c r="G140" s="883"/>
      <c r="H140" s="882">
        <v>2.15</v>
      </c>
      <c r="I140" s="881" t="s">
        <v>452</v>
      </c>
      <c r="J140" s="884"/>
      <c r="K140" s="881">
        <v>2.15</v>
      </c>
      <c r="L140" s="881" t="s">
        <v>452</v>
      </c>
      <c r="M140" s="885"/>
      <c r="N140" s="885"/>
      <c r="O140" s="882">
        <v>3.4788380974508817</v>
      </c>
      <c r="P140" s="881">
        <v>1.2516971931797973</v>
      </c>
      <c r="Q140" s="881">
        <v>2.2271409042710841</v>
      </c>
      <c r="R140" s="881" t="s">
        <v>452</v>
      </c>
      <c r="S140" s="883"/>
      <c r="T140" s="882">
        <v>1.39</v>
      </c>
      <c r="U140" s="881" t="s">
        <v>452</v>
      </c>
      <c r="V140" s="884"/>
      <c r="W140" s="881">
        <v>1.39</v>
      </c>
      <c r="X140" s="881" t="s">
        <v>452</v>
      </c>
      <c r="Z140" s="898"/>
      <c r="AA140" s="479" t="s">
        <v>1267</v>
      </c>
      <c r="AC140" s="717"/>
      <c r="AF140" s="839">
        <v>5.2719285298025849</v>
      </c>
      <c r="AG140" s="833">
        <v>1.8968569270969242</v>
      </c>
      <c r="AH140" s="833">
        <v>3.3750716027056606</v>
      </c>
      <c r="AI140" s="833" t="s">
        <v>452</v>
      </c>
      <c r="AJ140" s="832"/>
      <c r="AK140" s="839">
        <v>2.15</v>
      </c>
      <c r="AL140" s="833" t="s">
        <v>452</v>
      </c>
      <c r="AM140" s="837"/>
      <c r="AN140" s="833">
        <v>2.15</v>
      </c>
      <c r="AO140" s="833" t="s">
        <v>452</v>
      </c>
      <c r="AP140" s="834"/>
      <c r="AQ140" s="834"/>
      <c r="AR140" s="839">
        <v>3.4788380974508817</v>
      </c>
      <c r="AS140" s="833">
        <v>1.2516971931797973</v>
      </c>
      <c r="AT140" s="833">
        <v>2.2271409042710841</v>
      </c>
      <c r="AU140" s="833" t="s">
        <v>452</v>
      </c>
      <c r="AV140" s="832"/>
      <c r="AW140" s="839">
        <v>1.39</v>
      </c>
      <c r="AX140" s="833" t="s">
        <v>452</v>
      </c>
      <c r="AY140" s="837"/>
      <c r="AZ140" s="833">
        <v>1.39</v>
      </c>
      <c r="BA140" s="833" t="s">
        <v>452</v>
      </c>
    </row>
    <row r="141" spans="1:53">
      <c r="A141" s="764" t="s">
        <v>56</v>
      </c>
      <c r="B141" s="764" t="s">
        <v>56</v>
      </c>
      <c r="C141" s="896" t="str">
        <f>IF(ISNUMBER(INDEX('Database.Jan 12 to SEC'!$G$6:$G$191, MATCH($A141&amp;"USD bn", 'Database.Jan 12 to SEC'!$AD$6:$AD$191, 0))), INDEX('Database.Jan 12 to SEC'!$G$6:$G$191, MATCH($A141&amp;"USD bn", 'Database.Jan 12 to SEC'!$AD$6:$AD$191, 0)), "")</f>
        <v/>
      </c>
      <c r="D141" s="881" t="str">
        <f>IF(ISNUMBER(INDEX('Database.Jan 12 to SEC'!$H$6:$H$191, MATCH($A141&amp;"USD bn", 'Database.Jan 12 to SEC'!$AD$6:$AD$191, 0))), INDEX('Database.Jan 12 to SEC'!$H$6:$H$191, MATCH($A141&amp;"USD bn", 'Database.Jan 12 to SEC'!$AD$6:$AD$191, 0)), "")</f>
        <v/>
      </c>
      <c r="E141" s="881" t="str">
        <f>IF(ISNUMBER(INDEX('Database.Jan 12 to SEC'!$J$6:$J$191, MATCH($A141&amp;"USD bn", 'Database.Jan 12 to SEC'!$AD$6:$AD$191, 0))), INDEX('Database.Jan 12 to SEC'!$J$6:$J$191, MATCH($A141&amp;"USD bn", 'Database.Jan 12 to SEC'!$AD$6:$AD$191, 0)), "")</f>
        <v/>
      </c>
      <c r="F141" s="881" t="str">
        <f>IF(ISNUMBER(INDEX('Database.Jan 12 to SEC'!$L$6:$L$191, MATCH($A141&amp;"USD bn", 'Database.Jan 12 to SEC'!$AD$6:$AD$191, 0))), INDEX('Database.Jan 12 to SEC'!$L$6:$L$191, MATCH($A141&amp;"USD bn", 'Database.Jan 12 to SEC'!$AD$6:$AD$191, 0)), "")</f>
        <v/>
      </c>
      <c r="G141" s="883"/>
      <c r="H141" s="882" t="str">
        <f>IF(ISNUMBER(INDEX('Database.Jan 12 to SEC'!$P$6:$P$191, MATCH($A141&amp;"USD bn", 'Database.Jan 12 to SEC'!$AD$6:$AD$191, 0))), INDEX('Database.Jan 12 to SEC'!$P$6:$P$191, MATCH($A141&amp;"USD bn", 'Database.Jan 12 to SEC'!$AD$6:$AD$191, 0)), "")</f>
        <v/>
      </c>
      <c r="I141" s="881" t="str">
        <f>IF(ISNUMBER(INDEX('Database.Jan 12 to SEC'!$Q$6:$Q$191, MATCH($A141&amp;"USD bn", 'Database.Jan 12 to SEC'!$AD$6:$AD$191, 0))), INDEX('Database.Jan 12 to SEC'!$Q$6:$Q$191, MATCH($A141&amp;"USD bn", 'Database.Jan 12 to SEC'!$AD$6:$AD$191, 0)), "")</f>
        <v/>
      </c>
      <c r="J141" s="884"/>
      <c r="K141" s="881" t="str">
        <f>IF(ISNUMBER(INDEX('Database.Jan 12 to SEC'!$U$6:$U$191, MATCH($A141&amp;"USD bn", 'Database.Jan 12 to SEC'!$AD$6:$AD$191, 0))), INDEX('Database.Jan 12 to SEC'!$U$6:$U$191, MATCH($A141&amp;"USD bn", 'Database.Jan 12 to SEC'!$AD$6:$AD$191, 0)), "")</f>
        <v/>
      </c>
      <c r="L141" s="881" t="str">
        <f>IF(ISNUMBER(INDEX('Database.Jan 12 to SEC'!$W$6:$W$191, MATCH($A141&amp;"USD bn", 'Database.Jan 12 to SEC'!$AD$6:$AD$191, 0))), INDEX('Database.Jan 12 to SEC'!$W$6:$W$191, MATCH($A141&amp;"USD bn", 'Database.Jan 12 to SEC'!$AD$6:$AD$191, 0)), "")</f>
        <v/>
      </c>
      <c r="M141" s="885"/>
      <c r="N141" s="885"/>
      <c r="O141" s="882" t="str">
        <f>IF(ISNUMBER(INDEX('Database.Jan 12 to SEC'!$G$6:$G$191, MATCH($A141&amp;"% GDP", 'Database.Jan 12 to SEC'!$AD$6:$AD$191, 0))), INDEX('Database.Jan 12 to SEC'!$G$6:$G$191, MATCH($A141&amp;"% GDP", 'Database.Jan 12 to SEC'!$AD$6:$AD$191, 0)), "")</f>
        <v/>
      </c>
      <c r="P141" s="881" t="str">
        <f>IF(ISNUMBER(INDEX('Database.Jan 12 to SEC'!$H$6:$H$191, MATCH($A141&amp;"% GDP", 'Database.Jan 12 to SEC'!$AD$6:$AD$191, 0))), INDEX('Database.Jan 12 to SEC'!$H$6:$H$191, MATCH($A141&amp;"% GDP", 'Database.Jan 12 to SEC'!$AD$6:$AD$191, 0)), "")</f>
        <v/>
      </c>
      <c r="Q141" s="881" t="str">
        <f>IF(ISNUMBER(INDEX('Database.Jan 12 to SEC'!$J$6:$J$191, MATCH($A141&amp;"% GDP", 'Database.Jan 12 to SEC'!$AD$6:$AD$191, 0))), INDEX('Database.Jan 12 to SEC'!$J$6:$J$191, MATCH($A141&amp;"% GDP", 'Database.Jan 12 to SEC'!$AD$6:$AD$191, 0)), "")</f>
        <v/>
      </c>
      <c r="R141" s="881" t="str">
        <f>IF(ISNUMBER(INDEX('Database.Jan 12 to SEC'!$L$6:$L$191, MATCH($A141&amp;"% GDP", 'Database.Jan 12 to SEC'!$AD$6:$AD$191, 0))), INDEX('Database.Jan 12 to SEC'!$L$6:$L$191, MATCH($A141&amp;"% GDP", 'Database.Jan 12 to SEC'!$AD$6:$AD$191, 0)), "")</f>
        <v/>
      </c>
      <c r="S141" s="883"/>
      <c r="T141" s="882" t="str">
        <f>IF(ISNUMBER(INDEX('Database.Jan 12 to SEC'!$P$6:$P$191, MATCH($A141&amp;"% GDP", 'Database.Jan 12 to SEC'!$AD$6:$AD$191, 0))), INDEX('Database.Jan 12 to SEC'!$P$6:$P$191, MATCH($A141&amp;"% GDP", 'Database.Jan 12 to SEC'!$AD$6:$AD$191, 0)), "")</f>
        <v/>
      </c>
      <c r="U141" s="881" t="str">
        <f>IF(ISNUMBER(INDEX('Database.Jan 12 to SEC'!$Q$6:$Q$191, MATCH($A141&amp;"% GDP", 'Database.Jan 12 to SEC'!$AD$6:$AD$191, 0))), INDEX('Database.Jan 12 to SEC'!$Q$6:$Q$191, MATCH($A141&amp;"% GDP", 'Database.Jan 12 to SEC'!$AD$6:$AD$191, 0)), "")</f>
        <v/>
      </c>
      <c r="V141" s="884"/>
      <c r="W141" s="881" t="str">
        <f>IF(ISNUMBER(INDEX('Database.Jan 12 to SEC'!$U$6:$U$191, MATCH($A141&amp;"% GDP", 'Database.Jan 12 to SEC'!$AD$6:$AD$191, 0))), INDEX('Database.Jan 12 to SEC'!$U$6:$U$191, MATCH($A141&amp;"% GDP", 'Database.Jan 12 to SEC'!$AD$6:$AD$191, 0)), "")</f>
        <v/>
      </c>
      <c r="X141" s="881" t="str">
        <f>IF(ISNUMBER(INDEX('Database.Jan 12 to SEC'!$W$6:$W$191, MATCH($A141&amp;"% GDP", 'Database.Jan 12 to SEC'!$AD$6:$AD$191, 0))), INDEX('Database.Jan 12 to SEC'!$W$6:$W$191, MATCH($A141&amp;"% GDP", 'Database.Jan 12 to SEC'!$AD$6:$AD$191, 0)), "")</f>
        <v/>
      </c>
      <c r="Z141" s="898"/>
      <c r="AA141" s="479" t="s">
        <v>1267</v>
      </c>
      <c r="AC141" s="562"/>
      <c r="AF141" s="839">
        <v>8.7134104833219883</v>
      </c>
      <c r="AG141" s="833" t="s">
        <v>452</v>
      </c>
      <c r="AH141" s="833" t="s">
        <v>452</v>
      </c>
      <c r="AI141" s="833" t="s">
        <v>452</v>
      </c>
      <c r="AJ141" s="832"/>
      <c r="AK141" s="839" t="s">
        <v>452</v>
      </c>
      <c r="AL141" s="833" t="s">
        <v>452</v>
      </c>
      <c r="AM141" s="837"/>
      <c r="AN141" s="833" t="s">
        <v>452</v>
      </c>
      <c r="AO141" s="833" t="s">
        <v>452</v>
      </c>
      <c r="AP141" s="834"/>
      <c r="AQ141" s="834"/>
      <c r="AR141" s="839">
        <v>2.4280205714042915</v>
      </c>
      <c r="AS141" s="833" t="s">
        <v>452</v>
      </c>
      <c r="AT141" s="833" t="s">
        <v>452</v>
      </c>
      <c r="AU141" s="833" t="s">
        <v>452</v>
      </c>
      <c r="AV141" s="832"/>
      <c r="AW141" s="839" t="s">
        <v>452</v>
      </c>
      <c r="AX141" s="833" t="s">
        <v>452</v>
      </c>
      <c r="AY141" s="837"/>
      <c r="AZ141" s="833" t="s">
        <v>452</v>
      </c>
      <c r="BA141" s="833" t="s">
        <v>452</v>
      </c>
    </row>
    <row r="142" spans="1:53">
      <c r="A142" s="764" t="s">
        <v>1085</v>
      </c>
      <c r="B142" s="764" t="s">
        <v>1085</v>
      </c>
      <c r="C142" s="896">
        <v>1.6</v>
      </c>
      <c r="D142" s="881">
        <v>0.5</v>
      </c>
      <c r="E142" s="881">
        <v>1.1000000000000001</v>
      </c>
      <c r="F142" s="881" t="s">
        <v>452</v>
      </c>
      <c r="G142" s="883"/>
      <c r="H142" s="882">
        <v>0.60000000000000009</v>
      </c>
      <c r="I142" s="881">
        <v>0.2</v>
      </c>
      <c r="J142" s="884"/>
      <c r="K142" s="881">
        <v>0.4</v>
      </c>
      <c r="L142" s="881" t="s">
        <v>452</v>
      </c>
      <c r="M142" s="885"/>
      <c r="N142" s="885"/>
      <c r="O142" s="882">
        <v>2.7</v>
      </c>
      <c r="P142" s="881">
        <v>0.8</v>
      </c>
      <c r="Q142" s="881">
        <v>1.9000000000000001</v>
      </c>
      <c r="R142" s="881" t="s">
        <v>452</v>
      </c>
      <c r="S142" s="883"/>
      <c r="T142" s="882">
        <v>1</v>
      </c>
      <c r="U142" s="881">
        <v>0.3</v>
      </c>
      <c r="V142" s="884"/>
      <c r="W142" s="881">
        <v>0.7</v>
      </c>
      <c r="X142" s="881" t="s">
        <v>452</v>
      </c>
      <c r="Z142" s="898"/>
      <c r="AA142" s="479" t="s">
        <v>1267</v>
      </c>
      <c r="AC142" s="717"/>
      <c r="AF142" s="839">
        <v>1.6</v>
      </c>
      <c r="AG142" s="833">
        <v>0.5</v>
      </c>
      <c r="AH142" s="833">
        <v>1.1000000000000001</v>
      </c>
      <c r="AI142" s="833" t="s">
        <v>452</v>
      </c>
      <c r="AJ142" s="832"/>
      <c r="AK142" s="839">
        <v>0.60000000000000009</v>
      </c>
      <c r="AL142" s="833">
        <v>0.2</v>
      </c>
      <c r="AM142" s="837"/>
      <c r="AN142" s="833">
        <v>0.4</v>
      </c>
      <c r="AO142" s="833" t="s">
        <v>452</v>
      </c>
      <c r="AP142" s="834"/>
      <c r="AQ142" s="834"/>
      <c r="AR142" s="839">
        <v>2.7</v>
      </c>
      <c r="AS142" s="833">
        <v>0.8</v>
      </c>
      <c r="AT142" s="833">
        <v>1.9000000000000001</v>
      </c>
      <c r="AU142" s="833" t="s">
        <v>452</v>
      </c>
      <c r="AV142" s="832"/>
      <c r="AW142" s="839">
        <v>1</v>
      </c>
      <c r="AX142" s="833">
        <v>0.3</v>
      </c>
      <c r="AY142" s="837"/>
      <c r="AZ142" s="833">
        <v>0.7</v>
      </c>
      <c r="BA142" s="833" t="s">
        <v>452</v>
      </c>
    </row>
    <row r="143" spans="1:53">
      <c r="A143" s="764" t="s">
        <v>1086</v>
      </c>
      <c r="B143" s="764" t="s">
        <v>1086</v>
      </c>
      <c r="C143" s="896">
        <v>0</v>
      </c>
      <c r="D143" s="881">
        <v>0</v>
      </c>
      <c r="E143" s="881">
        <v>0</v>
      </c>
      <c r="F143" s="881" t="s">
        <v>452</v>
      </c>
      <c r="G143" s="883"/>
      <c r="H143" s="882" t="s">
        <v>452</v>
      </c>
      <c r="I143" s="881">
        <v>0</v>
      </c>
      <c r="J143" s="884"/>
      <c r="K143" s="881">
        <v>0</v>
      </c>
      <c r="L143" s="881" t="s">
        <v>452</v>
      </c>
      <c r="M143" s="885"/>
      <c r="N143" s="885"/>
      <c r="O143" s="882">
        <v>3.8</v>
      </c>
      <c r="P143" s="881">
        <v>0</v>
      </c>
      <c r="Q143" s="881">
        <v>3.8</v>
      </c>
      <c r="R143" s="881">
        <v>0</v>
      </c>
      <c r="S143" s="883"/>
      <c r="T143" s="882">
        <v>1.6</v>
      </c>
      <c r="U143" s="881">
        <v>0.7</v>
      </c>
      <c r="V143" s="884"/>
      <c r="W143" s="881">
        <v>0.9</v>
      </c>
      <c r="X143" s="881" t="s">
        <v>452</v>
      </c>
      <c r="Z143" s="898"/>
      <c r="AA143" s="479" t="s">
        <v>1267</v>
      </c>
      <c r="AC143" s="717"/>
      <c r="AF143" s="839">
        <v>0</v>
      </c>
      <c r="AG143" s="833">
        <v>0</v>
      </c>
      <c r="AH143" s="833">
        <v>0</v>
      </c>
      <c r="AI143" s="833" t="s">
        <v>452</v>
      </c>
      <c r="AJ143" s="832"/>
      <c r="AK143" s="839" t="s">
        <v>452</v>
      </c>
      <c r="AL143" s="833">
        <v>0</v>
      </c>
      <c r="AM143" s="837"/>
      <c r="AN143" s="833">
        <v>0</v>
      </c>
      <c r="AO143" s="833" t="s">
        <v>452</v>
      </c>
      <c r="AP143" s="834"/>
      <c r="AQ143" s="834"/>
      <c r="AR143" s="839">
        <v>3.8</v>
      </c>
      <c r="AS143" s="833">
        <v>0</v>
      </c>
      <c r="AT143" s="833">
        <v>3.8</v>
      </c>
      <c r="AU143" s="833">
        <v>0</v>
      </c>
      <c r="AV143" s="832"/>
      <c r="AW143" s="839">
        <v>1.6</v>
      </c>
      <c r="AX143" s="833">
        <v>0.7</v>
      </c>
      <c r="AY143" s="837"/>
      <c r="AZ143" s="833">
        <v>0.9</v>
      </c>
      <c r="BA143" s="833" t="s">
        <v>452</v>
      </c>
    </row>
    <row r="144" spans="1:53">
      <c r="A144" s="838" t="s">
        <v>871</v>
      </c>
      <c r="B144" s="838" t="s">
        <v>871</v>
      </c>
      <c r="C144" s="896"/>
      <c r="D144" s="881"/>
      <c r="E144" s="881" t="str">
        <f>IF(ISNUMBER(INDEX('Database.Jan 12 to SEC'!$J$6:$J$191, MATCH($A144&amp;"USD bn", 'Database.Jan 12 to SEC'!$AD$6:$AD$191, 0))), INDEX('Database.Jan 12 to SEC'!$J$6:$J$191, MATCH($A144&amp;"USD bn", 'Database.Jan 12 to SEC'!$AD$6:$AD$191, 0)), "")</f>
        <v/>
      </c>
      <c r="F144" s="881" t="str">
        <f>IF(ISNUMBER(INDEX('Database.Jan 12 to SEC'!$L$6:$L$191, MATCH($A144&amp;"USD bn", 'Database.Jan 12 to SEC'!$AD$6:$AD$191, 0))), INDEX('Database.Jan 12 to SEC'!$L$6:$L$191, MATCH($A144&amp;"USD bn", 'Database.Jan 12 to SEC'!$AD$6:$AD$191, 0)), "")</f>
        <v/>
      </c>
      <c r="G144" s="883"/>
      <c r="H144" s="882" t="str">
        <f>IF(ISNUMBER(INDEX('Database.Jan 12 to SEC'!$P$6:$P$191, MATCH($A144&amp;"USD bn", 'Database.Jan 12 to SEC'!$AD$6:$AD$191, 0))), INDEX('Database.Jan 12 to SEC'!$P$6:$P$191, MATCH($A144&amp;"USD bn", 'Database.Jan 12 to SEC'!$AD$6:$AD$191, 0)), "")</f>
        <v/>
      </c>
      <c r="I144" s="881" t="str">
        <f>IF(ISNUMBER(INDEX('Database.Jan 12 to SEC'!$Q$6:$Q$191, MATCH($A144&amp;"USD bn", 'Database.Jan 12 to SEC'!$AD$6:$AD$191, 0))), INDEX('Database.Jan 12 to SEC'!$Q$6:$Q$191, MATCH($A144&amp;"USD bn", 'Database.Jan 12 to SEC'!$AD$6:$AD$191, 0)), "")</f>
        <v/>
      </c>
      <c r="J144" s="884"/>
      <c r="K144" s="881" t="str">
        <f>IF(ISNUMBER(INDEX('Database.Jan 12 to SEC'!$U$6:$U$191, MATCH($A144&amp;"USD bn", 'Database.Jan 12 to SEC'!$AD$6:$AD$191, 0))), INDEX('Database.Jan 12 to SEC'!$U$6:$U$191, MATCH($A144&amp;"USD bn", 'Database.Jan 12 to SEC'!$AD$6:$AD$191, 0)), "")</f>
        <v/>
      </c>
      <c r="L144" s="881" t="str">
        <f>IF(ISNUMBER(INDEX('Database.Jan 12 to SEC'!$W$6:$W$191, MATCH($A144&amp;"USD bn", 'Database.Jan 12 to SEC'!$AD$6:$AD$191, 0))), INDEX('Database.Jan 12 to SEC'!$W$6:$W$191, MATCH($A144&amp;"USD bn", 'Database.Jan 12 to SEC'!$AD$6:$AD$191, 0)), "")</f>
        <v/>
      </c>
      <c r="M144" s="885"/>
      <c r="N144" s="885"/>
      <c r="O144" s="882" t="str">
        <f>IF(ISNUMBER(INDEX('Database.Jan 12 to SEC'!$G$6:$G$191, MATCH($A144&amp;"% GDP", 'Database.Jan 12 to SEC'!$AD$6:$AD$191, 0))), INDEX('Database.Jan 12 to SEC'!$G$6:$G$191, MATCH($A144&amp;"% GDP", 'Database.Jan 12 to SEC'!$AD$6:$AD$191, 0)), "")</f>
        <v/>
      </c>
      <c r="P144" s="881" t="str">
        <f>IF(ISNUMBER(INDEX('Database.Jan 12 to SEC'!$H$6:$H$191, MATCH($A144&amp;"% GDP", 'Database.Jan 12 to SEC'!$AD$6:$AD$191, 0))), INDEX('Database.Jan 12 to SEC'!$H$6:$H$191, MATCH($A144&amp;"% GDP", 'Database.Jan 12 to SEC'!$AD$6:$AD$191, 0)), "")</f>
        <v/>
      </c>
      <c r="Q144" s="881" t="str">
        <f>IF(ISNUMBER(INDEX('Database.Jan 12 to SEC'!$J$6:$J$191, MATCH($A144&amp;"% GDP", 'Database.Jan 12 to SEC'!$AD$6:$AD$191, 0))), INDEX('Database.Jan 12 to SEC'!$J$6:$J$191, MATCH($A144&amp;"% GDP", 'Database.Jan 12 to SEC'!$AD$6:$AD$191, 0)), "")</f>
        <v/>
      </c>
      <c r="R144" s="881" t="str">
        <f>IF(ISNUMBER(INDEX('Database.Jan 12 to SEC'!$L$6:$L$191, MATCH($A144&amp;"% GDP", 'Database.Jan 12 to SEC'!$AD$6:$AD$191, 0))), INDEX('Database.Jan 12 to SEC'!$L$6:$L$191, MATCH($A144&amp;"% GDP", 'Database.Jan 12 to SEC'!$AD$6:$AD$191, 0)), "")</f>
        <v/>
      </c>
      <c r="S144" s="883"/>
      <c r="T144" s="882" t="str">
        <f>IF(ISNUMBER(INDEX('Database.Jan 12 to SEC'!$P$6:$P$191, MATCH($A144&amp;"% GDP", 'Database.Jan 12 to SEC'!$AD$6:$AD$191, 0))), INDEX('Database.Jan 12 to SEC'!$P$6:$P$191, MATCH($A144&amp;"% GDP", 'Database.Jan 12 to SEC'!$AD$6:$AD$191, 0)), "")</f>
        <v/>
      </c>
      <c r="U144" s="881" t="str">
        <f>IF(ISNUMBER(INDEX('Database.Jan 12 to SEC'!$Q$6:$Q$191, MATCH($A144&amp;"% GDP", 'Database.Jan 12 to SEC'!$AD$6:$AD$191, 0))), INDEX('Database.Jan 12 to SEC'!$Q$6:$Q$191, MATCH($A144&amp;"% GDP", 'Database.Jan 12 to SEC'!$AD$6:$AD$191, 0)), "")</f>
        <v/>
      </c>
      <c r="V144" s="884"/>
      <c r="W144" s="881" t="str">
        <f>IF(ISNUMBER(INDEX('Database.Jan 12 to SEC'!$U$6:$U$191, MATCH($A144&amp;"% GDP", 'Database.Jan 12 to SEC'!$AD$6:$AD$191, 0))), INDEX('Database.Jan 12 to SEC'!$U$6:$U$191, MATCH($A144&amp;"% GDP", 'Database.Jan 12 to SEC'!$AD$6:$AD$191, 0)), "")</f>
        <v/>
      </c>
      <c r="X144" s="881" t="str">
        <f>IF(ISNUMBER(INDEX('Database.Jan 12 to SEC'!$W$6:$W$191, MATCH($A144&amp;"% GDP", 'Database.Jan 12 to SEC'!$AD$6:$AD$191, 0))), INDEX('Database.Jan 12 to SEC'!$W$6:$W$191, MATCH($A144&amp;"% GDP", 'Database.Jan 12 to SEC'!$AD$6:$AD$191, 0)), "")</f>
        <v/>
      </c>
      <c r="Z144" s="898"/>
      <c r="AC144" s="565"/>
      <c r="AF144" s="839" t="s">
        <v>452</v>
      </c>
      <c r="AG144" s="833" t="s">
        <v>452</v>
      </c>
      <c r="AH144" s="833" t="s">
        <v>452</v>
      </c>
      <c r="AI144" s="833" t="s">
        <v>452</v>
      </c>
      <c r="AJ144" s="832"/>
      <c r="AK144" s="839" t="e">
        <v>#N/A</v>
      </c>
      <c r="AL144" s="833" t="s">
        <v>452</v>
      </c>
      <c r="AM144" s="837"/>
      <c r="AN144" s="833" t="s">
        <v>452</v>
      </c>
      <c r="AO144" s="833" t="s">
        <v>452</v>
      </c>
      <c r="AP144" s="834"/>
      <c r="AQ144" s="834"/>
      <c r="AR144" s="839" t="s">
        <v>452</v>
      </c>
      <c r="AS144" s="833" t="s">
        <v>452</v>
      </c>
      <c r="AT144" s="833" t="s">
        <v>452</v>
      </c>
      <c r="AU144" s="833" t="s">
        <v>452</v>
      </c>
      <c r="AV144" s="832"/>
      <c r="AW144" s="839" t="e">
        <v>#N/A</v>
      </c>
      <c r="AX144" s="833" t="s">
        <v>452</v>
      </c>
      <c r="AY144" s="837"/>
      <c r="AZ144" s="833" t="s">
        <v>452</v>
      </c>
      <c r="BA144" s="833" t="s">
        <v>452</v>
      </c>
    </row>
    <row r="145" spans="1:53">
      <c r="A145" s="764" t="s">
        <v>1087</v>
      </c>
      <c r="B145" s="764" t="s">
        <v>1087</v>
      </c>
      <c r="C145" s="896">
        <v>0.55355049185828398</v>
      </c>
      <c r="D145" s="881">
        <v>8.5288655857142903E-2</v>
      </c>
      <c r="E145" s="881">
        <v>0.46826183600114102</v>
      </c>
      <c r="F145" s="881" t="s">
        <v>452</v>
      </c>
      <c r="G145" s="883"/>
      <c r="H145" s="882" t="s">
        <v>452</v>
      </c>
      <c r="I145" s="881" t="s">
        <v>452</v>
      </c>
      <c r="J145" s="884"/>
      <c r="K145" s="881" t="s">
        <v>452</v>
      </c>
      <c r="L145" s="881" t="s">
        <v>452</v>
      </c>
      <c r="M145" s="885"/>
      <c r="N145" s="885"/>
      <c r="O145" s="882">
        <v>2.90761573842925</v>
      </c>
      <c r="P145" s="881">
        <v>0.44799280594477697</v>
      </c>
      <c r="Q145" s="881">
        <v>2.4596229324844701</v>
      </c>
      <c r="R145" s="881" t="s">
        <v>452</v>
      </c>
      <c r="S145" s="883"/>
      <c r="T145" s="882" t="s">
        <v>452</v>
      </c>
      <c r="U145" s="881" t="s">
        <v>452</v>
      </c>
      <c r="V145" s="884"/>
      <c r="W145" s="881" t="s">
        <v>452</v>
      </c>
      <c r="X145" s="881" t="s">
        <v>452</v>
      </c>
      <c r="Z145" s="898"/>
      <c r="AA145" s="479" t="s">
        <v>1313</v>
      </c>
      <c r="AC145" s="717"/>
      <c r="AF145" s="839">
        <v>0.42235300831513617</v>
      </c>
      <c r="AG145" s="833">
        <v>0.13201489785424828</v>
      </c>
      <c r="AH145" s="833">
        <v>0.29033811046088787</v>
      </c>
      <c r="AI145" s="833" t="s">
        <v>452</v>
      </c>
      <c r="AJ145" s="832"/>
      <c r="AK145" s="839" t="s">
        <v>452</v>
      </c>
      <c r="AL145" s="833" t="s">
        <v>452</v>
      </c>
      <c r="AM145" s="837"/>
      <c r="AN145" s="833" t="s">
        <v>452</v>
      </c>
      <c r="AO145" s="833" t="s">
        <v>452</v>
      </c>
      <c r="AP145" s="834"/>
      <c r="AQ145" s="834"/>
      <c r="AR145" s="839">
        <v>2.1</v>
      </c>
      <c r="AS145" s="833">
        <v>0.69000465049425941</v>
      </c>
      <c r="AT145" s="833">
        <v>1.4099953495057407</v>
      </c>
      <c r="AU145" s="833" t="s">
        <v>452</v>
      </c>
      <c r="AV145" s="832"/>
      <c r="AW145" s="839" t="s">
        <v>452</v>
      </c>
      <c r="AX145" s="833" t="s">
        <v>452</v>
      </c>
      <c r="AY145" s="837"/>
      <c r="AZ145" s="833" t="s">
        <v>452</v>
      </c>
      <c r="BA145" s="833" t="s">
        <v>452</v>
      </c>
    </row>
    <row r="146" spans="1:53">
      <c r="A146" s="764" t="s">
        <v>37</v>
      </c>
      <c r="B146" s="764" t="s">
        <v>37</v>
      </c>
      <c r="C146" s="896" t="str">
        <f>IF(ISNUMBER(INDEX('Database.Jan 12 to SEC'!$G$6:$G$191, MATCH($A146&amp;"USD bn", 'Database.Jan 12 to SEC'!$AD$6:$AD$191, 0))), INDEX('Database.Jan 12 to SEC'!$G$6:$G$191, MATCH($A146&amp;"USD bn", 'Database.Jan 12 to SEC'!$AD$6:$AD$191, 0)), "")</f>
        <v/>
      </c>
      <c r="D146" s="881" t="str">
        <f>IF(ISNUMBER(INDEX('Database.Jan 12 to SEC'!$H$6:$H$191, MATCH($A146&amp;"USD bn", 'Database.Jan 12 to SEC'!$AD$6:$AD$191, 0))), INDEX('Database.Jan 12 to SEC'!$H$6:$H$191, MATCH($A146&amp;"USD bn", 'Database.Jan 12 to SEC'!$AD$6:$AD$191, 0)), "")</f>
        <v/>
      </c>
      <c r="E146" s="881" t="str">
        <f>IF(ISNUMBER(INDEX('Database.Jan 12 to SEC'!$J$6:$J$191, MATCH($A146&amp;"USD bn", 'Database.Jan 12 to SEC'!$AD$6:$AD$191, 0))), INDEX('Database.Jan 12 to SEC'!$J$6:$J$191, MATCH($A146&amp;"USD bn", 'Database.Jan 12 to SEC'!$AD$6:$AD$191, 0)), "")</f>
        <v/>
      </c>
      <c r="F146" s="881" t="str">
        <f>IF(ISNUMBER(INDEX('Database.Jan 12 to SEC'!$L$6:$L$191, MATCH($A146&amp;"USD bn", 'Database.Jan 12 to SEC'!$AD$6:$AD$191, 0))), INDEX('Database.Jan 12 to SEC'!$L$6:$L$191, MATCH($A146&amp;"USD bn", 'Database.Jan 12 to SEC'!$AD$6:$AD$191, 0)), "")</f>
        <v/>
      </c>
      <c r="G146" s="883"/>
      <c r="H146" s="882" t="str">
        <f>IF(ISNUMBER(INDEX('Database.Jan 12 to SEC'!$P$6:$P$191, MATCH($A146&amp;"USD bn", 'Database.Jan 12 to SEC'!$AD$6:$AD$191, 0))), INDEX('Database.Jan 12 to SEC'!$P$6:$P$191, MATCH($A146&amp;"USD bn", 'Database.Jan 12 to SEC'!$AD$6:$AD$191, 0)), "")</f>
        <v/>
      </c>
      <c r="I146" s="881" t="str">
        <f>IF(ISNUMBER(INDEX('Database.Jan 12 to SEC'!$Q$6:$Q$191, MATCH($A146&amp;"USD bn", 'Database.Jan 12 to SEC'!$AD$6:$AD$191, 0))), INDEX('Database.Jan 12 to SEC'!$Q$6:$Q$191, MATCH($A146&amp;"USD bn", 'Database.Jan 12 to SEC'!$AD$6:$AD$191, 0)), "")</f>
        <v/>
      </c>
      <c r="J146" s="884"/>
      <c r="K146" s="881" t="str">
        <f>IF(ISNUMBER(INDEX('Database.Jan 12 to SEC'!$U$6:$U$191, MATCH($A146&amp;"USD bn", 'Database.Jan 12 to SEC'!$AD$6:$AD$191, 0))), INDEX('Database.Jan 12 to SEC'!$U$6:$U$191, MATCH($A146&amp;"USD bn", 'Database.Jan 12 to SEC'!$AD$6:$AD$191, 0)), "")</f>
        <v/>
      </c>
      <c r="L146" s="881" t="str">
        <f>IF(ISNUMBER(INDEX('Database.Jan 12 to SEC'!$W$6:$W$191, MATCH($A146&amp;"USD bn", 'Database.Jan 12 to SEC'!$AD$6:$AD$191, 0))), INDEX('Database.Jan 12 to SEC'!$W$6:$W$191, MATCH($A146&amp;"USD bn", 'Database.Jan 12 to SEC'!$AD$6:$AD$191, 0)), "")</f>
        <v/>
      </c>
      <c r="M146" s="885"/>
      <c r="N146" s="885"/>
      <c r="O146" s="882" t="str">
        <f>IF(ISNUMBER(INDEX('Database.Jan 12 to SEC'!$G$6:$G$191, MATCH($A146&amp;"% GDP", 'Database.Jan 12 to SEC'!$AD$6:$AD$191, 0))), INDEX('Database.Jan 12 to SEC'!$G$6:$G$191, MATCH($A146&amp;"% GDP", 'Database.Jan 12 to SEC'!$AD$6:$AD$191, 0)), "")</f>
        <v/>
      </c>
      <c r="P146" s="881" t="str">
        <f>IF(ISNUMBER(INDEX('Database.Jan 12 to SEC'!$H$6:$H$191, MATCH($A146&amp;"% GDP", 'Database.Jan 12 to SEC'!$AD$6:$AD$191, 0))), INDEX('Database.Jan 12 to SEC'!$H$6:$H$191, MATCH($A146&amp;"% GDP", 'Database.Jan 12 to SEC'!$AD$6:$AD$191, 0)), "")</f>
        <v/>
      </c>
      <c r="Q146" s="881" t="str">
        <f>IF(ISNUMBER(INDEX('Database.Jan 12 to SEC'!$J$6:$J$191, MATCH($A146&amp;"% GDP", 'Database.Jan 12 to SEC'!$AD$6:$AD$191, 0))), INDEX('Database.Jan 12 to SEC'!$J$6:$J$191, MATCH($A146&amp;"% GDP", 'Database.Jan 12 to SEC'!$AD$6:$AD$191, 0)), "")</f>
        <v/>
      </c>
      <c r="R146" s="881" t="str">
        <f>IF(ISNUMBER(INDEX('Database.Jan 12 to SEC'!$L$6:$L$191, MATCH($A146&amp;"% GDP", 'Database.Jan 12 to SEC'!$AD$6:$AD$191, 0))), INDEX('Database.Jan 12 to SEC'!$L$6:$L$191, MATCH($A146&amp;"% GDP", 'Database.Jan 12 to SEC'!$AD$6:$AD$191, 0)), "")</f>
        <v/>
      </c>
      <c r="S146" s="883"/>
      <c r="T146" s="882" t="str">
        <f>IF(ISNUMBER(INDEX('Database.Jan 12 to SEC'!$P$6:$P$191, MATCH($A146&amp;"% GDP", 'Database.Jan 12 to SEC'!$AD$6:$AD$191, 0))), INDEX('Database.Jan 12 to SEC'!$P$6:$P$191, MATCH($A146&amp;"% GDP", 'Database.Jan 12 to SEC'!$AD$6:$AD$191, 0)), "")</f>
        <v/>
      </c>
      <c r="U146" s="881" t="str">
        <f>IF(ISNUMBER(INDEX('Database.Jan 12 to SEC'!$Q$6:$Q$191, MATCH($A146&amp;"% GDP", 'Database.Jan 12 to SEC'!$AD$6:$AD$191, 0))), INDEX('Database.Jan 12 to SEC'!$Q$6:$Q$191, MATCH($A146&amp;"% GDP", 'Database.Jan 12 to SEC'!$AD$6:$AD$191, 0)), "")</f>
        <v/>
      </c>
      <c r="V146" s="884"/>
      <c r="W146" s="881" t="str">
        <f>IF(ISNUMBER(INDEX('Database.Jan 12 to SEC'!$U$6:$U$191, MATCH($A146&amp;"% GDP", 'Database.Jan 12 to SEC'!$AD$6:$AD$191, 0))), INDEX('Database.Jan 12 to SEC'!$U$6:$U$191, MATCH($A146&amp;"% GDP", 'Database.Jan 12 to SEC'!$AD$6:$AD$191, 0)), "")</f>
        <v/>
      </c>
      <c r="X146" s="881" t="str">
        <f>IF(ISNUMBER(INDEX('Database.Jan 12 to SEC'!$W$6:$W$191, MATCH($A146&amp;"% GDP", 'Database.Jan 12 to SEC'!$AD$6:$AD$191, 0))), INDEX('Database.Jan 12 to SEC'!$W$6:$W$191, MATCH($A146&amp;"% GDP", 'Database.Jan 12 to SEC'!$AD$6:$AD$191, 0)), "")</f>
        <v/>
      </c>
      <c r="Z146" s="898"/>
      <c r="AA146" s="479" t="s">
        <v>1267</v>
      </c>
      <c r="AC146" s="562"/>
      <c r="AF146" s="839">
        <v>7.4404955534436894</v>
      </c>
      <c r="AG146" s="833">
        <v>2.9836987447040832</v>
      </c>
      <c r="AH146" s="833">
        <v>4.4567968087396057</v>
      </c>
      <c r="AI146" s="833" t="s">
        <v>452</v>
      </c>
      <c r="AJ146" s="832"/>
      <c r="AK146" s="839">
        <v>0.23586551341534254</v>
      </c>
      <c r="AL146" s="833" t="s">
        <v>452</v>
      </c>
      <c r="AM146" s="837"/>
      <c r="AN146" s="833">
        <v>0.23586551341534254</v>
      </c>
      <c r="AO146" s="833" t="s">
        <v>452</v>
      </c>
      <c r="AP146" s="834"/>
      <c r="AQ146" s="834"/>
      <c r="AR146" s="839">
        <v>2.3031524031183657</v>
      </c>
      <c r="AS146" s="833">
        <v>0.92358269482009558</v>
      </c>
      <c r="AT146" s="833">
        <v>1.3795697082982701</v>
      </c>
      <c r="AU146" s="833" t="s">
        <v>452</v>
      </c>
      <c r="AV146" s="832"/>
      <c r="AW146" s="839">
        <v>7.3010489709098458E-2</v>
      </c>
      <c r="AX146" s="833" t="s">
        <v>452</v>
      </c>
      <c r="AY146" s="837"/>
      <c r="AZ146" s="833">
        <v>7.3010489709098458E-2</v>
      </c>
      <c r="BA146" s="833" t="s">
        <v>452</v>
      </c>
    </row>
    <row r="147" spans="1:53">
      <c r="A147" s="764" t="s">
        <v>1088</v>
      </c>
      <c r="B147" s="764" t="s">
        <v>1088</v>
      </c>
      <c r="C147" s="896">
        <v>0.41782950447958811</v>
      </c>
      <c r="D147" s="881">
        <v>0.22829419547474228</v>
      </c>
      <c r="E147" s="881">
        <v>0.18953530900484583</v>
      </c>
      <c r="F147" s="881">
        <v>3.4854766324377652E-2</v>
      </c>
      <c r="G147" s="883"/>
      <c r="H147" s="882">
        <v>0.26391340810399344</v>
      </c>
      <c r="I147" s="881">
        <v>0.10456429897313295</v>
      </c>
      <c r="J147" s="884"/>
      <c r="K147" s="881">
        <v>0.15934910913086051</v>
      </c>
      <c r="L147" s="881" t="s">
        <v>452</v>
      </c>
      <c r="M147" s="885"/>
      <c r="N147" s="885"/>
      <c r="O147" s="882">
        <v>2.615335716687742</v>
      </c>
      <c r="P147" s="881">
        <v>1.3912712919976606</v>
      </c>
      <c r="Q147" s="881">
        <v>1.2240644246900814</v>
      </c>
      <c r="R147" s="881">
        <v>0.22793298946683291</v>
      </c>
      <c r="S147" s="883"/>
      <c r="T147" s="882">
        <v>1.5949375669726011</v>
      </c>
      <c r="U147" s="881">
        <v>0.68379896840049881</v>
      </c>
      <c r="V147" s="884"/>
      <c r="W147" s="881">
        <v>0.91113859857210233</v>
      </c>
      <c r="X147" s="881" t="s">
        <v>452</v>
      </c>
      <c r="Z147" s="898"/>
      <c r="AA147" s="479" t="s">
        <v>1267</v>
      </c>
      <c r="AC147" s="717"/>
      <c r="AF147" s="839">
        <v>0.41782950447958811</v>
      </c>
      <c r="AG147" s="833">
        <v>0.22829419547474228</v>
      </c>
      <c r="AH147" s="833">
        <v>0.18953530900484583</v>
      </c>
      <c r="AI147" s="833">
        <v>3.4854766324377652E-2</v>
      </c>
      <c r="AJ147" s="832"/>
      <c r="AK147" s="839">
        <v>0.26391340810399344</v>
      </c>
      <c r="AL147" s="833">
        <v>0.10456429897313295</v>
      </c>
      <c r="AM147" s="837"/>
      <c r="AN147" s="833">
        <v>0.15934910913086051</v>
      </c>
      <c r="AO147" s="833" t="s">
        <v>452</v>
      </c>
      <c r="AP147" s="834"/>
      <c r="AQ147" s="834"/>
      <c r="AR147" s="839">
        <v>2.615335716687742</v>
      </c>
      <c r="AS147" s="833">
        <v>1.3912712919976606</v>
      </c>
      <c r="AT147" s="833">
        <v>1.2240644246900814</v>
      </c>
      <c r="AU147" s="833">
        <v>0.22793298946683291</v>
      </c>
      <c r="AV147" s="832"/>
      <c r="AW147" s="839">
        <v>1.5949375669726011</v>
      </c>
      <c r="AX147" s="833">
        <v>0.68379896840049881</v>
      </c>
      <c r="AY147" s="837"/>
      <c r="AZ147" s="833">
        <v>0.91113859857210233</v>
      </c>
      <c r="BA147" s="833" t="s">
        <v>452</v>
      </c>
    </row>
    <row r="148" spans="1:53">
      <c r="A148" s="764" t="s">
        <v>1089</v>
      </c>
      <c r="B148" s="764" t="s">
        <v>1089</v>
      </c>
      <c r="C148" s="882" t="s">
        <v>452</v>
      </c>
      <c r="D148" s="881" t="s">
        <v>452</v>
      </c>
      <c r="E148" s="881" t="s">
        <v>452</v>
      </c>
      <c r="F148" s="881" t="s">
        <v>452</v>
      </c>
      <c r="G148" s="884"/>
      <c r="H148" s="882" t="s">
        <v>452</v>
      </c>
      <c r="I148" s="881" t="s">
        <v>452</v>
      </c>
      <c r="J148" s="884"/>
      <c r="K148" s="881" t="s">
        <v>452</v>
      </c>
      <c r="L148" s="881" t="s">
        <v>452</v>
      </c>
      <c r="M148" s="885"/>
      <c r="N148" s="885"/>
      <c r="O148" s="882" t="s">
        <v>452</v>
      </c>
      <c r="P148" s="881" t="s">
        <v>452</v>
      </c>
      <c r="Q148" s="881" t="s">
        <v>452</v>
      </c>
      <c r="R148" s="881" t="s">
        <v>452</v>
      </c>
      <c r="S148" s="883"/>
      <c r="T148" s="882" t="s">
        <v>452</v>
      </c>
      <c r="U148" s="881" t="s">
        <v>452</v>
      </c>
      <c r="V148" s="884"/>
      <c r="W148" s="881" t="s">
        <v>452</v>
      </c>
      <c r="X148" s="881" t="s">
        <v>452</v>
      </c>
      <c r="Z148" s="898"/>
      <c r="AA148" s="479" t="s">
        <v>1267</v>
      </c>
      <c r="AC148" s="717"/>
      <c r="AF148" s="839" t="s">
        <v>452</v>
      </c>
      <c r="AG148" s="833" t="s">
        <v>452</v>
      </c>
      <c r="AH148" s="833" t="s">
        <v>452</v>
      </c>
      <c r="AI148" s="833" t="s">
        <v>452</v>
      </c>
      <c r="AJ148" s="832"/>
      <c r="AK148" s="839" t="s">
        <v>452</v>
      </c>
      <c r="AL148" s="833" t="s">
        <v>452</v>
      </c>
      <c r="AM148" s="837"/>
      <c r="AN148" s="833" t="s">
        <v>452</v>
      </c>
      <c r="AO148" s="833" t="s">
        <v>452</v>
      </c>
      <c r="AP148" s="834"/>
      <c r="AQ148" s="834"/>
      <c r="AR148" s="839" t="s">
        <v>452</v>
      </c>
      <c r="AS148" s="833" t="s">
        <v>452</v>
      </c>
      <c r="AT148" s="833" t="s">
        <v>452</v>
      </c>
      <c r="AU148" s="833" t="s">
        <v>452</v>
      </c>
      <c r="AV148" s="832"/>
      <c r="AW148" s="839" t="s">
        <v>452</v>
      </c>
      <c r="AX148" s="833" t="s">
        <v>452</v>
      </c>
      <c r="AY148" s="837"/>
      <c r="AZ148" s="833" t="s">
        <v>452</v>
      </c>
      <c r="BA148" s="833" t="s">
        <v>452</v>
      </c>
    </row>
    <row r="149" spans="1:53">
      <c r="A149" s="764" t="s">
        <v>1090</v>
      </c>
      <c r="B149" s="764" t="s">
        <v>1090</v>
      </c>
      <c r="C149" s="896">
        <v>0.6</v>
      </c>
      <c r="D149" s="881">
        <v>0.27</v>
      </c>
      <c r="E149" s="881">
        <v>0.32999999999999996</v>
      </c>
      <c r="F149" s="881" t="s">
        <v>452</v>
      </c>
      <c r="G149" s="883"/>
      <c r="H149" s="882" t="s">
        <v>452</v>
      </c>
      <c r="I149" s="881" t="s">
        <v>452</v>
      </c>
      <c r="J149" s="884"/>
      <c r="K149" s="881" t="s">
        <v>452</v>
      </c>
      <c r="L149" s="881" t="s">
        <v>452</v>
      </c>
      <c r="M149" s="885"/>
      <c r="N149" s="885"/>
      <c r="O149" s="882">
        <v>3.8</v>
      </c>
      <c r="P149" s="881">
        <v>1.7</v>
      </c>
      <c r="Q149" s="881">
        <v>2.0999999999999996</v>
      </c>
      <c r="R149" s="881" t="s">
        <v>452</v>
      </c>
      <c r="S149" s="883"/>
      <c r="T149" s="882" t="s">
        <v>452</v>
      </c>
      <c r="U149" s="881" t="s">
        <v>452</v>
      </c>
      <c r="V149" s="884"/>
      <c r="W149" s="881" t="s">
        <v>452</v>
      </c>
      <c r="X149" s="881" t="s">
        <v>452</v>
      </c>
      <c r="Z149" s="898"/>
      <c r="AA149" s="479" t="s">
        <v>1267</v>
      </c>
      <c r="AC149" s="717"/>
      <c r="AF149" s="839">
        <v>0.6</v>
      </c>
      <c r="AG149" s="833">
        <v>0.27</v>
      </c>
      <c r="AH149" s="833">
        <v>0.32999999999999996</v>
      </c>
      <c r="AI149" s="833" t="s">
        <v>452</v>
      </c>
      <c r="AJ149" s="832"/>
      <c r="AK149" s="839" t="s">
        <v>452</v>
      </c>
      <c r="AL149" s="833" t="s">
        <v>452</v>
      </c>
      <c r="AM149" s="837"/>
      <c r="AN149" s="833" t="s">
        <v>452</v>
      </c>
      <c r="AO149" s="833" t="s">
        <v>452</v>
      </c>
      <c r="AP149" s="834"/>
      <c r="AQ149" s="834"/>
      <c r="AR149" s="839">
        <v>3.8</v>
      </c>
      <c r="AS149" s="833">
        <v>1.7</v>
      </c>
      <c r="AT149" s="833">
        <v>2.0999999999999996</v>
      </c>
      <c r="AU149" s="833" t="s">
        <v>452</v>
      </c>
      <c r="AV149" s="832"/>
      <c r="AW149" s="839" t="s">
        <v>452</v>
      </c>
      <c r="AX149" s="833" t="s">
        <v>452</v>
      </c>
      <c r="AY149" s="837"/>
      <c r="AZ149" s="833" t="s">
        <v>452</v>
      </c>
      <c r="BA149" s="833" t="s">
        <v>452</v>
      </c>
    </row>
    <row r="150" spans="1:53">
      <c r="A150" s="764" t="s">
        <v>1091</v>
      </c>
      <c r="B150" s="764" t="s">
        <v>1091</v>
      </c>
      <c r="C150" s="896">
        <v>0.15367717104864326</v>
      </c>
      <c r="D150" s="881">
        <v>5.723077793724532E-2</v>
      </c>
      <c r="E150" s="881">
        <v>9.6446393111397924E-2</v>
      </c>
      <c r="F150" s="881" t="s">
        <v>452</v>
      </c>
      <c r="G150" s="883"/>
      <c r="H150" s="882" t="s">
        <v>452</v>
      </c>
      <c r="I150" s="881" t="s">
        <v>452</v>
      </c>
      <c r="J150" s="884"/>
      <c r="K150" s="881" t="s">
        <v>452</v>
      </c>
      <c r="L150" s="881" t="s">
        <v>452</v>
      </c>
      <c r="M150" s="885"/>
      <c r="N150" s="885"/>
      <c r="O150" s="882">
        <v>5.0555050453497747</v>
      </c>
      <c r="P150" s="881">
        <v>1.8827161161071533</v>
      </c>
      <c r="Q150" s="881">
        <v>3.1727889292426212</v>
      </c>
      <c r="R150" s="881" t="s">
        <v>452</v>
      </c>
      <c r="S150" s="883"/>
      <c r="T150" s="882" t="s">
        <v>452</v>
      </c>
      <c r="U150" s="881" t="s">
        <v>452</v>
      </c>
      <c r="V150" s="884"/>
      <c r="W150" s="881" t="s">
        <v>452</v>
      </c>
      <c r="X150" s="881" t="s">
        <v>452</v>
      </c>
      <c r="Z150" s="898"/>
      <c r="AA150" s="479" t="s">
        <v>1267</v>
      </c>
      <c r="AC150" s="717"/>
      <c r="AF150" s="839">
        <v>0.15367717104864326</v>
      </c>
      <c r="AG150" s="833">
        <v>5.723077793724532E-2</v>
      </c>
      <c r="AH150" s="833">
        <v>9.6446393111397924E-2</v>
      </c>
      <c r="AI150" s="833" t="s">
        <v>452</v>
      </c>
      <c r="AJ150" s="832"/>
      <c r="AK150" s="839" t="s">
        <v>452</v>
      </c>
      <c r="AL150" s="833" t="s">
        <v>452</v>
      </c>
      <c r="AM150" s="837"/>
      <c r="AN150" s="833" t="s">
        <v>452</v>
      </c>
      <c r="AO150" s="833" t="s">
        <v>452</v>
      </c>
      <c r="AP150" s="834"/>
      <c r="AQ150" s="834"/>
      <c r="AR150" s="839">
        <v>5.0555050453497747</v>
      </c>
      <c r="AS150" s="833">
        <v>1.8827161161071533</v>
      </c>
      <c r="AT150" s="833">
        <v>3.1727889292426212</v>
      </c>
      <c r="AU150" s="833" t="s">
        <v>452</v>
      </c>
      <c r="AV150" s="832"/>
      <c r="AW150" s="839" t="s">
        <v>452</v>
      </c>
      <c r="AX150" s="833" t="s">
        <v>452</v>
      </c>
      <c r="AY150" s="837"/>
      <c r="AZ150" s="833" t="s">
        <v>452</v>
      </c>
      <c r="BA150" s="833" t="s">
        <v>452</v>
      </c>
    </row>
    <row r="151" spans="1:53">
      <c r="A151" s="764" t="s">
        <v>1092</v>
      </c>
      <c r="B151" s="764" t="s">
        <v>1092</v>
      </c>
      <c r="C151" s="896">
        <v>1.2556657215609024</v>
      </c>
      <c r="D151" s="881">
        <v>0.27303641302823461</v>
      </c>
      <c r="E151" s="881">
        <v>0.98262930853266783</v>
      </c>
      <c r="F151" s="881" t="s">
        <v>452</v>
      </c>
      <c r="G151" s="883"/>
      <c r="H151" s="882">
        <v>5.9138825533346128E-4</v>
      </c>
      <c r="I151" s="881" t="s">
        <v>452</v>
      </c>
      <c r="J151" s="884"/>
      <c r="K151" s="881" t="s">
        <v>452</v>
      </c>
      <c r="L151" s="881">
        <v>5.9138825533346128E-4</v>
      </c>
      <c r="M151" s="885"/>
      <c r="N151" s="885"/>
      <c r="O151" s="882">
        <v>4.9844650782508682</v>
      </c>
      <c r="P151" s="881">
        <v>1.0838397851128305</v>
      </c>
      <c r="Q151" s="881">
        <v>3.9006252931380372</v>
      </c>
      <c r="R151" s="881" t="s">
        <v>452</v>
      </c>
      <c r="S151" s="883"/>
      <c r="T151" s="882">
        <v>2.3475627754917356E-3</v>
      </c>
      <c r="U151" s="881" t="s">
        <v>452</v>
      </c>
      <c r="V151" s="884"/>
      <c r="W151" s="881" t="s">
        <v>452</v>
      </c>
      <c r="X151" s="881">
        <v>2.3475627754917356E-3</v>
      </c>
      <c r="Z151" s="898"/>
      <c r="AA151" s="479" t="s">
        <v>1267</v>
      </c>
      <c r="AC151" s="717"/>
      <c r="AF151" s="839">
        <v>1.2556657215609024</v>
      </c>
      <c r="AG151" s="833">
        <v>0.27303641302823461</v>
      </c>
      <c r="AH151" s="833">
        <v>0.98262930853266783</v>
      </c>
      <c r="AI151" s="833" t="s">
        <v>452</v>
      </c>
      <c r="AJ151" s="832"/>
      <c r="AK151" s="839">
        <v>5.9138825533346128E-4</v>
      </c>
      <c r="AL151" s="833" t="s">
        <v>452</v>
      </c>
      <c r="AM151" s="837"/>
      <c r="AN151" s="833" t="s">
        <v>452</v>
      </c>
      <c r="AO151" s="833">
        <v>5.9138825533346128E-4</v>
      </c>
      <c r="AP151" s="834"/>
      <c r="AQ151" s="834"/>
      <c r="AR151" s="839">
        <v>4.9844650782508682</v>
      </c>
      <c r="AS151" s="833">
        <v>1.0838397851128305</v>
      </c>
      <c r="AT151" s="833">
        <v>3.9006252931380372</v>
      </c>
      <c r="AU151" s="833" t="s">
        <v>452</v>
      </c>
      <c r="AV151" s="832"/>
      <c r="AW151" s="839">
        <v>2.3475627754917356E-3</v>
      </c>
      <c r="AX151" s="833" t="s">
        <v>452</v>
      </c>
      <c r="AY151" s="837"/>
      <c r="AZ151" s="833" t="s">
        <v>452</v>
      </c>
      <c r="BA151" s="833">
        <v>2.3475627754917356E-3</v>
      </c>
    </row>
    <row r="152" spans="1:53">
      <c r="A152" s="764" t="s">
        <v>1093</v>
      </c>
      <c r="B152" s="764" t="s">
        <v>1093</v>
      </c>
      <c r="C152" s="896">
        <v>1.0874206115591551</v>
      </c>
      <c r="D152" s="881">
        <v>0.10213054383763584</v>
      </c>
      <c r="E152" s="881">
        <v>0.98529006772151917</v>
      </c>
      <c r="F152" s="881" t="s">
        <v>452</v>
      </c>
      <c r="G152" s="883"/>
      <c r="H152" s="882" t="s">
        <v>452</v>
      </c>
      <c r="I152" s="881" t="s">
        <v>452</v>
      </c>
      <c r="J152" s="884"/>
      <c r="K152" s="881" t="s">
        <v>452</v>
      </c>
      <c r="L152" s="881" t="s">
        <v>452</v>
      </c>
      <c r="M152" s="885"/>
      <c r="N152" s="885"/>
      <c r="O152" s="882">
        <v>2.7227524878440037</v>
      </c>
      <c r="P152" s="881">
        <v>0.25572091365830885</v>
      </c>
      <c r="Q152" s="881">
        <v>2.4670315741856945</v>
      </c>
      <c r="R152" s="881" t="s">
        <v>452</v>
      </c>
      <c r="S152" s="883"/>
      <c r="T152" s="882" t="s">
        <v>452</v>
      </c>
      <c r="U152" s="881" t="s">
        <v>452</v>
      </c>
      <c r="V152" s="884"/>
      <c r="W152" s="881" t="s">
        <v>452</v>
      </c>
      <c r="X152" s="881" t="s">
        <v>452</v>
      </c>
      <c r="Z152" s="898"/>
      <c r="AA152" s="479" t="s">
        <v>1267</v>
      </c>
      <c r="AC152" s="717"/>
      <c r="AF152" s="839">
        <v>1.0874206115591551</v>
      </c>
      <c r="AG152" s="833">
        <v>0.10213054383763584</v>
      </c>
      <c r="AH152" s="833">
        <v>0.98529006772151917</v>
      </c>
      <c r="AI152" s="833" t="s">
        <v>452</v>
      </c>
      <c r="AJ152" s="832"/>
      <c r="AK152" s="839" t="s">
        <v>452</v>
      </c>
      <c r="AL152" s="833" t="s">
        <v>452</v>
      </c>
      <c r="AM152" s="837"/>
      <c r="AN152" s="833" t="s">
        <v>452</v>
      </c>
      <c r="AO152" s="833" t="s">
        <v>452</v>
      </c>
      <c r="AP152" s="834"/>
      <c r="AQ152" s="834"/>
      <c r="AR152" s="839">
        <v>2.7227524878440037</v>
      </c>
      <c r="AS152" s="833">
        <v>0.25572091365830885</v>
      </c>
      <c r="AT152" s="833">
        <v>2.4670315741856945</v>
      </c>
      <c r="AU152" s="833" t="s">
        <v>452</v>
      </c>
      <c r="AV152" s="832"/>
      <c r="AW152" s="839" t="s">
        <v>452</v>
      </c>
      <c r="AX152" s="833" t="s">
        <v>452</v>
      </c>
      <c r="AY152" s="837"/>
      <c r="AZ152" s="833" t="s">
        <v>452</v>
      </c>
      <c r="BA152" s="833" t="s">
        <v>452</v>
      </c>
    </row>
    <row r="153" spans="1:53">
      <c r="A153" s="764" t="s">
        <v>1094</v>
      </c>
      <c r="B153" s="764" t="s">
        <v>1094</v>
      </c>
      <c r="C153" s="896">
        <v>2.7489993060215441E-2</v>
      </c>
      <c r="D153" s="881">
        <v>1.7398729784946481E-2</v>
      </c>
      <c r="E153" s="881">
        <v>1.009126327526896E-2</v>
      </c>
      <c r="F153" s="881" t="s">
        <v>452</v>
      </c>
      <c r="G153" s="883"/>
      <c r="H153" s="882" t="s">
        <v>452</v>
      </c>
      <c r="I153" s="881" t="s">
        <v>452</v>
      </c>
      <c r="J153" s="884"/>
      <c r="K153" s="881" t="s">
        <v>452</v>
      </c>
      <c r="L153" s="881" t="s">
        <v>452</v>
      </c>
      <c r="M153" s="885"/>
      <c r="N153" s="885"/>
      <c r="O153" s="882">
        <v>1.1516936727816518</v>
      </c>
      <c r="P153" s="881">
        <v>0.72892004606433658</v>
      </c>
      <c r="Q153" s="881">
        <v>0.42277362671731522</v>
      </c>
      <c r="R153" s="881" t="s">
        <v>452</v>
      </c>
      <c r="S153" s="883"/>
      <c r="T153" s="882" t="s">
        <v>452</v>
      </c>
      <c r="U153" s="881" t="s">
        <v>452</v>
      </c>
      <c r="V153" s="884"/>
      <c r="W153" s="881" t="s">
        <v>452</v>
      </c>
      <c r="X153" s="881" t="s">
        <v>452</v>
      </c>
      <c r="Z153" s="898"/>
      <c r="AA153" s="479" t="s">
        <v>1267</v>
      </c>
      <c r="AC153" s="717"/>
      <c r="AF153" s="839">
        <v>2.7489993060215441E-2</v>
      </c>
      <c r="AG153" s="833">
        <v>1.7398729784946481E-2</v>
      </c>
      <c r="AH153" s="833">
        <v>1.009126327526896E-2</v>
      </c>
      <c r="AI153" s="833" t="s">
        <v>452</v>
      </c>
      <c r="AJ153" s="832"/>
      <c r="AK153" s="839" t="s">
        <v>452</v>
      </c>
      <c r="AL153" s="833" t="s">
        <v>452</v>
      </c>
      <c r="AM153" s="837"/>
      <c r="AN153" s="833" t="s">
        <v>452</v>
      </c>
      <c r="AO153" s="833" t="s">
        <v>452</v>
      </c>
      <c r="AP153" s="834"/>
      <c r="AQ153" s="834"/>
      <c r="AR153" s="839">
        <v>1.1516936727816518</v>
      </c>
      <c r="AS153" s="833">
        <v>0.72892004606433658</v>
      </c>
      <c r="AT153" s="833">
        <v>0.42277362671731522</v>
      </c>
      <c r="AU153" s="833" t="s">
        <v>452</v>
      </c>
      <c r="AV153" s="832"/>
      <c r="AW153" s="839" t="s">
        <v>452</v>
      </c>
      <c r="AX153" s="833" t="s">
        <v>452</v>
      </c>
      <c r="AY153" s="837"/>
      <c r="AZ153" s="833" t="s">
        <v>452</v>
      </c>
      <c r="BA153" s="833" t="s">
        <v>452</v>
      </c>
    </row>
    <row r="154" spans="1:53">
      <c r="A154" s="764" t="s">
        <v>1095</v>
      </c>
      <c r="B154" s="764" t="s">
        <v>1095</v>
      </c>
      <c r="C154" s="896">
        <v>0.57241820992473713</v>
      </c>
      <c r="D154" s="881">
        <v>7.307466509677496E-2</v>
      </c>
      <c r="E154" s="881">
        <v>0.49934354482796217</v>
      </c>
      <c r="F154" s="881" t="s">
        <v>452</v>
      </c>
      <c r="G154" s="883"/>
      <c r="H154" s="882" t="s">
        <v>452</v>
      </c>
      <c r="I154" s="881" t="s">
        <v>452</v>
      </c>
      <c r="J154" s="884"/>
      <c r="K154" s="881">
        <v>0</v>
      </c>
      <c r="L154" s="881" t="s">
        <v>452</v>
      </c>
      <c r="M154" s="885"/>
      <c r="N154" s="885"/>
      <c r="O154" s="882">
        <v>5.2826581188893638</v>
      </c>
      <c r="P154" s="881">
        <v>0.67438188751779127</v>
      </c>
      <c r="Q154" s="881">
        <v>4.6082762313715726</v>
      </c>
      <c r="R154" s="881" t="s">
        <v>452</v>
      </c>
      <c r="S154" s="883"/>
      <c r="T154" s="882" t="s">
        <v>452</v>
      </c>
      <c r="U154" s="881" t="s">
        <v>452</v>
      </c>
      <c r="V154" s="884"/>
      <c r="W154" s="881">
        <v>0</v>
      </c>
      <c r="X154" s="881" t="s">
        <v>452</v>
      </c>
      <c r="Z154" s="898"/>
      <c r="AA154" s="479" t="s">
        <v>1267</v>
      </c>
      <c r="AC154" s="717"/>
      <c r="AF154" s="839">
        <v>0.57241820992473713</v>
      </c>
      <c r="AG154" s="833">
        <v>7.307466509677496E-2</v>
      </c>
      <c r="AH154" s="833">
        <v>0.49934354482796217</v>
      </c>
      <c r="AI154" s="833" t="s">
        <v>452</v>
      </c>
      <c r="AJ154" s="832"/>
      <c r="AK154" s="839" t="s">
        <v>452</v>
      </c>
      <c r="AL154" s="833" t="s">
        <v>452</v>
      </c>
      <c r="AM154" s="837"/>
      <c r="AN154" s="833">
        <v>0</v>
      </c>
      <c r="AO154" s="833" t="s">
        <v>452</v>
      </c>
      <c r="AP154" s="834"/>
      <c r="AQ154" s="834"/>
      <c r="AR154" s="839">
        <v>5.2826581188893638</v>
      </c>
      <c r="AS154" s="833">
        <v>0.67438188751779127</v>
      </c>
      <c r="AT154" s="833">
        <v>4.6082762313715726</v>
      </c>
      <c r="AU154" s="833" t="s">
        <v>452</v>
      </c>
      <c r="AV154" s="832"/>
      <c r="AW154" s="839" t="s">
        <v>452</v>
      </c>
      <c r="AX154" s="833" t="s">
        <v>452</v>
      </c>
      <c r="AY154" s="837"/>
      <c r="AZ154" s="833">
        <v>0</v>
      </c>
      <c r="BA154" s="833" t="s">
        <v>452</v>
      </c>
    </row>
    <row r="155" spans="1:53">
      <c r="A155" s="764" t="s">
        <v>1096</v>
      </c>
      <c r="B155" s="764" t="s">
        <v>1096</v>
      </c>
      <c r="C155" s="896">
        <v>4.3148849866667199E-2</v>
      </c>
      <c r="D155" s="881">
        <v>2.4126238635125745E-2</v>
      </c>
      <c r="E155" s="881">
        <v>1.9022611231541454E-2</v>
      </c>
      <c r="F155" s="881" t="s">
        <v>452</v>
      </c>
      <c r="G155" s="883"/>
      <c r="H155" s="882" t="s">
        <v>452</v>
      </c>
      <c r="I155" s="881" t="s">
        <v>452</v>
      </c>
      <c r="J155" s="884"/>
      <c r="K155" s="881" t="s">
        <v>452</v>
      </c>
      <c r="L155" s="881" t="s">
        <v>452</v>
      </c>
      <c r="M155" s="885"/>
      <c r="N155" s="885"/>
      <c r="O155" s="882">
        <v>3.5484291072312235</v>
      </c>
      <c r="P155" s="881">
        <v>1.9840678879142322</v>
      </c>
      <c r="Q155" s="881">
        <v>1.5643612193169909</v>
      </c>
      <c r="R155" s="881" t="s">
        <v>452</v>
      </c>
      <c r="S155" s="883"/>
      <c r="T155" s="882" t="s">
        <v>452</v>
      </c>
      <c r="U155" s="881" t="s">
        <v>452</v>
      </c>
      <c r="V155" s="884"/>
      <c r="W155" s="881" t="s">
        <v>452</v>
      </c>
      <c r="X155" s="881" t="s">
        <v>452</v>
      </c>
      <c r="Z155" s="898"/>
      <c r="AA155" s="479" t="s">
        <v>1267</v>
      </c>
      <c r="AC155" s="717"/>
      <c r="AF155" s="839">
        <v>4.3148849866667199E-2</v>
      </c>
      <c r="AG155" s="833">
        <v>2.4126238635125745E-2</v>
      </c>
      <c r="AH155" s="833">
        <v>1.9022611231541454E-2</v>
      </c>
      <c r="AI155" s="833" t="s">
        <v>452</v>
      </c>
      <c r="AJ155" s="832"/>
      <c r="AK155" s="839" t="s">
        <v>452</v>
      </c>
      <c r="AL155" s="833" t="s">
        <v>452</v>
      </c>
      <c r="AM155" s="837"/>
      <c r="AN155" s="833" t="s">
        <v>452</v>
      </c>
      <c r="AO155" s="833" t="s">
        <v>452</v>
      </c>
      <c r="AP155" s="834"/>
      <c r="AQ155" s="834"/>
      <c r="AR155" s="839">
        <v>3.5484291072312235</v>
      </c>
      <c r="AS155" s="833">
        <v>1.9840678879142322</v>
      </c>
      <c r="AT155" s="833">
        <v>1.5643612193169909</v>
      </c>
      <c r="AU155" s="833" t="s">
        <v>452</v>
      </c>
      <c r="AV155" s="832"/>
      <c r="AW155" s="839" t="s">
        <v>452</v>
      </c>
      <c r="AX155" s="833" t="s">
        <v>452</v>
      </c>
      <c r="AY155" s="837"/>
      <c r="AZ155" s="833" t="s">
        <v>452</v>
      </c>
      <c r="BA155" s="833" t="s">
        <v>452</v>
      </c>
    </row>
    <row r="156" spans="1:53">
      <c r="A156" s="764" t="s">
        <v>1098</v>
      </c>
      <c r="B156" s="764" t="s">
        <v>1098</v>
      </c>
      <c r="C156" s="896">
        <v>0.23488285209677748</v>
      </c>
      <c r="D156" s="881">
        <v>0.1304904733870986</v>
      </c>
      <c r="E156" s="881">
        <v>0.10439237870967888</v>
      </c>
      <c r="F156" s="881" t="s">
        <v>452</v>
      </c>
      <c r="G156" s="883"/>
      <c r="H156" s="882">
        <v>4.3496824462366204E-2</v>
      </c>
      <c r="I156" s="881" t="s">
        <v>452</v>
      </c>
      <c r="J156" s="884"/>
      <c r="K156" s="881">
        <v>4.3496824462366204E-2</v>
      </c>
      <c r="L156" s="881" t="s">
        <v>452</v>
      </c>
      <c r="M156" s="885"/>
      <c r="N156" s="885"/>
      <c r="O156" s="882">
        <v>2.2740570442212653</v>
      </c>
      <c r="P156" s="881">
        <v>1.2633650245673695</v>
      </c>
      <c r="Q156" s="881">
        <v>1.0106920196538958</v>
      </c>
      <c r="R156" s="881" t="s">
        <v>452</v>
      </c>
      <c r="S156" s="883"/>
      <c r="T156" s="882">
        <v>0.42112167485578988</v>
      </c>
      <c r="U156" s="881" t="s">
        <v>452</v>
      </c>
      <c r="V156" s="884"/>
      <c r="W156" s="881">
        <v>0.42112167485578988</v>
      </c>
      <c r="X156" s="881" t="s">
        <v>452</v>
      </c>
      <c r="Z156" s="898"/>
      <c r="AA156" s="479" t="s">
        <v>1267</v>
      </c>
      <c r="AC156" s="717"/>
      <c r="AF156" s="839">
        <v>0.23488285209677748</v>
      </c>
      <c r="AG156" s="833">
        <v>0.1304904733870986</v>
      </c>
      <c r="AH156" s="833">
        <v>0.10439237870967888</v>
      </c>
      <c r="AI156" s="833" t="s">
        <v>452</v>
      </c>
      <c r="AJ156" s="832"/>
      <c r="AK156" s="839">
        <v>4.3496824462366204E-2</v>
      </c>
      <c r="AL156" s="833" t="s">
        <v>452</v>
      </c>
      <c r="AM156" s="837"/>
      <c r="AN156" s="833">
        <v>4.3496824462366204E-2</v>
      </c>
      <c r="AO156" s="833" t="s">
        <v>452</v>
      </c>
      <c r="AP156" s="834"/>
      <c r="AQ156" s="834"/>
      <c r="AR156" s="839">
        <v>2.2740570442212653</v>
      </c>
      <c r="AS156" s="833">
        <v>1.2633650245673695</v>
      </c>
      <c r="AT156" s="833">
        <v>1.0106920196538958</v>
      </c>
      <c r="AU156" s="833" t="s">
        <v>452</v>
      </c>
      <c r="AV156" s="832"/>
      <c r="AW156" s="839">
        <v>0.42112167485578988</v>
      </c>
      <c r="AX156" s="833" t="s">
        <v>452</v>
      </c>
      <c r="AY156" s="837"/>
      <c r="AZ156" s="833">
        <v>0.42112167485578988</v>
      </c>
      <c r="BA156" s="833" t="s">
        <v>452</v>
      </c>
    </row>
    <row r="157" spans="1:53">
      <c r="A157" s="764" t="s">
        <v>94</v>
      </c>
      <c r="B157" s="764" t="s">
        <v>94</v>
      </c>
      <c r="C157" s="896">
        <v>1.5977253561516351</v>
      </c>
      <c r="D157" s="881">
        <v>0.3</v>
      </c>
      <c r="E157" s="881">
        <v>1.2977253561516351</v>
      </c>
      <c r="F157" s="881" t="s">
        <v>452</v>
      </c>
      <c r="G157" s="883"/>
      <c r="H157" s="882" t="s">
        <v>452</v>
      </c>
      <c r="I157" s="881" t="s">
        <v>452</v>
      </c>
      <c r="J157" s="884"/>
      <c r="K157" s="881" t="s">
        <v>452</v>
      </c>
      <c r="L157" s="881" t="s">
        <v>452</v>
      </c>
      <c r="M157" s="885"/>
      <c r="N157" s="885"/>
      <c r="O157" s="882">
        <v>2.5</v>
      </c>
      <c r="P157" s="881">
        <v>0.5</v>
      </c>
      <c r="Q157" s="881">
        <v>2</v>
      </c>
      <c r="R157" s="881" t="s">
        <v>452</v>
      </c>
      <c r="S157" s="883"/>
      <c r="T157" s="882" t="s">
        <v>452</v>
      </c>
      <c r="U157" s="881" t="s">
        <v>452</v>
      </c>
      <c r="V157" s="884"/>
      <c r="W157" s="881" t="s">
        <v>452</v>
      </c>
      <c r="X157" s="881" t="s">
        <v>452</v>
      </c>
      <c r="Z157" s="898"/>
      <c r="AA157" s="479" t="s">
        <v>1267</v>
      </c>
      <c r="AC157" s="717"/>
      <c r="AF157" s="839">
        <v>1.5977253561516351</v>
      </c>
      <c r="AG157" s="833">
        <v>0.3</v>
      </c>
      <c r="AH157" s="833">
        <v>1.2977253561516351</v>
      </c>
      <c r="AI157" s="833" t="s">
        <v>452</v>
      </c>
      <c r="AJ157" s="832"/>
      <c r="AK157" s="839" t="s">
        <v>452</v>
      </c>
      <c r="AL157" s="833" t="s">
        <v>452</v>
      </c>
      <c r="AM157" s="837"/>
      <c r="AN157" s="833" t="s">
        <v>452</v>
      </c>
      <c r="AO157" s="833" t="s">
        <v>452</v>
      </c>
      <c r="AP157" s="834"/>
      <c r="AQ157" s="834"/>
      <c r="AR157" s="839">
        <v>2.5</v>
      </c>
      <c r="AS157" s="833">
        <v>0.5</v>
      </c>
      <c r="AT157" s="833">
        <v>2</v>
      </c>
      <c r="AU157" s="833" t="s">
        <v>452</v>
      </c>
      <c r="AV157" s="832"/>
      <c r="AW157" s="839" t="s">
        <v>452</v>
      </c>
      <c r="AX157" s="833" t="s">
        <v>452</v>
      </c>
      <c r="AY157" s="837"/>
      <c r="AZ157" s="833" t="s">
        <v>452</v>
      </c>
      <c r="BA157" s="833" t="s">
        <v>452</v>
      </c>
    </row>
    <row r="158" spans="1:53">
      <c r="A158" s="764" t="s">
        <v>1097</v>
      </c>
      <c r="B158" s="764" t="s">
        <v>1097</v>
      </c>
      <c r="C158" s="896">
        <v>1.9675737656882086</v>
      </c>
      <c r="D158" s="881">
        <v>8.6955634442986984E-2</v>
      </c>
      <c r="E158" s="881">
        <v>1.8806181312452217</v>
      </c>
      <c r="F158" s="881" t="s">
        <v>452</v>
      </c>
      <c r="G158" s="883"/>
      <c r="H158" s="882" t="s">
        <v>452</v>
      </c>
      <c r="I158" s="881" t="s">
        <v>452</v>
      </c>
      <c r="J158" s="884"/>
      <c r="K158" s="881" t="s">
        <v>452</v>
      </c>
      <c r="L158" s="881" t="s">
        <v>452</v>
      </c>
      <c r="M158" s="885"/>
      <c r="N158" s="885"/>
      <c r="O158" s="882">
        <v>4.0396514459547577</v>
      </c>
      <c r="P158" s="881">
        <v>0.17852975097411913</v>
      </c>
      <c r="Q158" s="881">
        <v>3.8611216949806382</v>
      </c>
      <c r="R158" s="881" t="s">
        <v>452</v>
      </c>
      <c r="S158" s="883"/>
      <c r="T158" s="882" t="s">
        <v>452</v>
      </c>
      <c r="U158" s="881" t="s">
        <v>452</v>
      </c>
      <c r="V158" s="884"/>
      <c r="W158" s="881" t="s">
        <v>452</v>
      </c>
      <c r="X158" s="881" t="s">
        <v>452</v>
      </c>
      <c r="Z158" s="898"/>
      <c r="AA158" s="479" t="s">
        <v>1267</v>
      </c>
      <c r="AC158" s="717"/>
      <c r="AF158" s="839">
        <v>1.9675737656882086</v>
      </c>
      <c r="AG158" s="833">
        <v>8.6955634442986984E-2</v>
      </c>
      <c r="AH158" s="833">
        <v>1.8806181312452217</v>
      </c>
      <c r="AI158" s="833" t="s">
        <v>452</v>
      </c>
      <c r="AJ158" s="832"/>
      <c r="AK158" s="839" t="s">
        <v>452</v>
      </c>
      <c r="AL158" s="833" t="s">
        <v>452</v>
      </c>
      <c r="AM158" s="837"/>
      <c r="AN158" s="833" t="s">
        <v>452</v>
      </c>
      <c r="AO158" s="833" t="s">
        <v>452</v>
      </c>
      <c r="AP158" s="834"/>
      <c r="AQ158" s="834"/>
      <c r="AR158" s="839">
        <v>4.0396514459547577</v>
      </c>
      <c r="AS158" s="833">
        <v>0.17852975097411913</v>
      </c>
      <c r="AT158" s="833">
        <v>3.8611216949806382</v>
      </c>
      <c r="AU158" s="833" t="s">
        <v>452</v>
      </c>
      <c r="AV158" s="832"/>
      <c r="AW158" s="839" t="s">
        <v>452</v>
      </c>
      <c r="AX158" s="833" t="s">
        <v>452</v>
      </c>
      <c r="AY158" s="837"/>
      <c r="AZ158" s="833" t="s">
        <v>452</v>
      </c>
      <c r="BA158" s="833" t="s">
        <v>452</v>
      </c>
    </row>
    <row r="159" spans="1:53">
      <c r="A159" s="764" t="s">
        <v>1099</v>
      </c>
      <c r="B159" s="764" t="s">
        <v>1099</v>
      </c>
      <c r="C159" s="896">
        <v>0.10263277834358348</v>
      </c>
      <c r="D159" s="881">
        <v>2.8133985291552491E-2</v>
      </c>
      <c r="E159" s="881">
        <v>7.4498793052030984E-2</v>
      </c>
      <c r="F159" s="881" t="s">
        <v>452</v>
      </c>
      <c r="G159" s="883"/>
      <c r="H159" s="882" t="s">
        <v>452</v>
      </c>
      <c r="I159" s="881" t="s">
        <v>452</v>
      </c>
      <c r="J159" s="884"/>
      <c r="K159" s="881" t="s">
        <v>452</v>
      </c>
      <c r="L159" s="881" t="s">
        <v>452</v>
      </c>
      <c r="M159" s="885"/>
      <c r="N159" s="885"/>
      <c r="O159" s="882">
        <v>2.9836838281640916</v>
      </c>
      <c r="P159" s="881">
        <v>0.8178957862291919</v>
      </c>
      <c r="Q159" s="881">
        <v>2.1657880419348996</v>
      </c>
      <c r="R159" s="881" t="s">
        <v>452</v>
      </c>
      <c r="S159" s="883"/>
      <c r="T159" s="882" t="s">
        <v>452</v>
      </c>
      <c r="U159" s="881" t="s">
        <v>452</v>
      </c>
      <c r="V159" s="884"/>
      <c r="W159" s="881" t="s">
        <v>452</v>
      </c>
      <c r="X159" s="881" t="s">
        <v>452</v>
      </c>
      <c r="Z159" s="898"/>
      <c r="AA159" s="479" t="s">
        <v>1267</v>
      </c>
      <c r="AC159" s="717"/>
      <c r="AF159" s="839">
        <v>0.10263277834358348</v>
      </c>
      <c r="AG159" s="833">
        <v>2.8133985291552491E-2</v>
      </c>
      <c r="AH159" s="833">
        <v>7.4498793052030984E-2</v>
      </c>
      <c r="AI159" s="833" t="s">
        <v>452</v>
      </c>
      <c r="AJ159" s="832"/>
      <c r="AK159" s="839" t="s">
        <v>452</v>
      </c>
      <c r="AL159" s="833" t="s">
        <v>452</v>
      </c>
      <c r="AM159" s="837"/>
      <c r="AN159" s="833" t="s">
        <v>452</v>
      </c>
      <c r="AO159" s="833" t="s">
        <v>452</v>
      </c>
      <c r="AP159" s="834"/>
      <c r="AQ159" s="834"/>
      <c r="AR159" s="839">
        <v>2.9836838281640916</v>
      </c>
      <c r="AS159" s="833">
        <v>0.8178957862291919</v>
      </c>
      <c r="AT159" s="833">
        <v>2.1657880419348996</v>
      </c>
      <c r="AU159" s="833" t="s">
        <v>452</v>
      </c>
      <c r="AV159" s="832"/>
      <c r="AW159" s="839" t="s">
        <v>452</v>
      </c>
      <c r="AX159" s="833" t="s">
        <v>452</v>
      </c>
      <c r="AY159" s="837"/>
      <c r="AZ159" s="833" t="s">
        <v>452</v>
      </c>
      <c r="BA159" s="833" t="s">
        <v>452</v>
      </c>
    </row>
    <row r="160" spans="1:53">
      <c r="A160" s="764" t="s">
        <v>1100</v>
      </c>
      <c r="B160" s="764" t="s">
        <v>1100</v>
      </c>
      <c r="C160" s="896" t="s">
        <v>452</v>
      </c>
      <c r="D160" s="881" t="s">
        <v>452</v>
      </c>
      <c r="E160" s="881" t="s">
        <v>452</v>
      </c>
      <c r="F160" s="881" t="s">
        <v>452</v>
      </c>
      <c r="G160" s="883"/>
      <c r="H160" s="882" t="s">
        <v>452</v>
      </c>
      <c r="I160" s="881" t="s">
        <v>452</v>
      </c>
      <c r="J160" s="884"/>
      <c r="K160" s="881" t="s">
        <v>452</v>
      </c>
      <c r="L160" s="881" t="s">
        <v>452</v>
      </c>
      <c r="M160" s="885"/>
      <c r="N160" s="885"/>
      <c r="O160" s="882" t="s">
        <v>452</v>
      </c>
      <c r="P160" s="881" t="s">
        <v>452</v>
      </c>
      <c r="Q160" s="881" t="s">
        <v>452</v>
      </c>
      <c r="R160" s="881" t="s">
        <v>452</v>
      </c>
      <c r="S160" s="883"/>
      <c r="T160" s="882" t="s">
        <v>452</v>
      </c>
      <c r="U160" s="881" t="s">
        <v>452</v>
      </c>
      <c r="V160" s="884"/>
      <c r="W160" s="881" t="s">
        <v>452</v>
      </c>
      <c r="X160" s="881" t="s">
        <v>452</v>
      </c>
      <c r="Z160" s="898"/>
      <c r="AA160" s="479" t="s">
        <v>1267</v>
      </c>
      <c r="AC160" s="717"/>
      <c r="AF160" s="839" t="s">
        <v>452</v>
      </c>
      <c r="AG160" s="833" t="s">
        <v>452</v>
      </c>
      <c r="AH160" s="833" t="s">
        <v>452</v>
      </c>
      <c r="AI160" s="833" t="s">
        <v>452</v>
      </c>
      <c r="AJ160" s="832"/>
      <c r="AK160" s="839" t="s">
        <v>452</v>
      </c>
      <c r="AL160" s="833" t="s">
        <v>452</v>
      </c>
      <c r="AM160" s="837"/>
      <c r="AN160" s="833" t="s">
        <v>452</v>
      </c>
      <c r="AO160" s="833" t="s">
        <v>452</v>
      </c>
      <c r="AP160" s="834"/>
      <c r="AQ160" s="834"/>
      <c r="AR160" s="839" t="s">
        <v>452</v>
      </c>
      <c r="AS160" s="833" t="s">
        <v>452</v>
      </c>
      <c r="AT160" s="833" t="s">
        <v>452</v>
      </c>
      <c r="AU160" s="833" t="s">
        <v>452</v>
      </c>
      <c r="AV160" s="832"/>
      <c r="AW160" s="839" t="s">
        <v>452</v>
      </c>
      <c r="AX160" s="833" t="s">
        <v>452</v>
      </c>
      <c r="AY160" s="837"/>
      <c r="AZ160" s="833" t="s">
        <v>452</v>
      </c>
      <c r="BA160" s="833" t="s">
        <v>452</v>
      </c>
    </row>
    <row r="161" spans="1:53">
      <c r="A161" s="764" t="s">
        <v>548</v>
      </c>
      <c r="B161" s="764" t="s">
        <v>548</v>
      </c>
      <c r="C161" s="896" t="str">
        <f>IF(ISNUMBER(INDEX('Database.Jan 12 to SEC'!$G$6:$G$191, MATCH($A161&amp;"USD bn", 'Database.Jan 12 to SEC'!$AD$6:$AD$191, 0))), INDEX('Database.Jan 12 to SEC'!$G$6:$G$191, MATCH($A161&amp;"USD bn", 'Database.Jan 12 to SEC'!$AD$6:$AD$191, 0)), "")</f>
        <v/>
      </c>
      <c r="D161" s="881" t="str">
        <f>IF(ISNUMBER(INDEX('Database.Jan 12 to SEC'!$H$6:$H$191, MATCH($A161&amp;"USD bn", 'Database.Jan 12 to SEC'!$AD$6:$AD$191, 0))), INDEX('Database.Jan 12 to SEC'!$H$6:$H$191, MATCH($A161&amp;"USD bn", 'Database.Jan 12 to SEC'!$AD$6:$AD$191, 0)), "")</f>
        <v/>
      </c>
      <c r="E161" s="881" t="str">
        <f>IF(ISNUMBER(INDEX('Database.Jan 12 to SEC'!$J$6:$J$191, MATCH($A161&amp;"USD bn", 'Database.Jan 12 to SEC'!$AD$6:$AD$191, 0))), INDEX('Database.Jan 12 to SEC'!$J$6:$J$191, MATCH($A161&amp;"USD bn", 'Database.Jan 12 to SEC'!$AD$6:$AD$191, 0)), "")</f>
        <v/>
      </c>
      <c r="F161" s="881" t="str">
        <f>IF(ISNUMBER(INDEX('Database.Jan 12 to SEC'!$L$6:$L$191, MATCH($A161&amp;"USD bn", 'Database.Jan 12 to SEC'!$AD$6:$AD$191, 0))), INDEX('Database.Jan 12 to SEC'!$L$6:$L$191, MATCH($A161&amp;"USD bn", 'Database.Jan 12 to SEC'!$AD$6:$AD$191, 0)), "")</f>
        <v/>
      </c>
      <c r="G161" s="883"/>
      <c r="H161" s="882" t="str">
        <f>IF(ISNUMBER(INDEX('Database.Jan 12 to SEC'!$P$6:$P$191, MATCH($A161&amp;"USD bn", 'Database.Jan 12 to SEC'!$AD$6:$AD$191, 0))), INDEX('Database.Jan 12 to SEC'!$P$6:$P$191, MATCH($A161&amp;"USD bn", 'Database.Jan 12 to SEC'!$AD$6:$AD$191, 0)), "")</f>
        <v/>
      </c>
      <c r="I161" s="881" t="str">
        <f>IF(ISNUMBER(INDEX('Database.Jan 12 to SEC'!$Q$6:$Q$191, MATCH($A161&amp;"USD bn", 'Database.Jan 12 to SEC'!$AD$6:$AD$191, 0))), INDEX('Database.Jan 12 to SEC'!$Q$6:$Q$191, MATCH($A161&amp;"USD bn", 'Database.Jan 12 to SEC'!$AD$6:$AD$191, 0)), "")</f>
        <v/>
      </c>
      <c r="J161" s="884"/>
      <c r="K161" s="881" t="str">
        <f>IF(ISNUMBER(INDEX('Database.Jan 12 to SEC'!$U$6:$U$191, MATCH($A161&amp;"USD bn", 'Database.Jan 12 to SEC'!$AD$6:$AD$191, 0))), INDEX('Database.Jan 12 to SEC'!$U$6:$U$191, MATCH($A161&amp;"USD bn", 'Database.Jan 12 to SEC'!$AD$6:$AD$191, 0)), "")</f>
        <v/>
      </c>
      <c r="L161" s="881" t="str">
        <f>IF(ISNUMBER(INDEX('Database.Jan 12 to SEC'!$W$6:$W$191, MATCH($A161&amp;"USD bn", 'Database.Jan 12 to SEC'!$AD$6:$AD$191, 0))), INDEX('Database.Jan 12 to SEC'!$W$6:$W$191, MATCH($A161&amp;"USD bn", 'Database.Jan 12 to SEC'!$AD$6:$AD$191, 0)), "")</f>
        <v/>
      </c>
      <c r="M161" s="885"/>
      <c r="N161" s="885"/>
      <c r="O161" s="882" t="str">
        <f>IF(ISNUMBER(INDEX('Database.Jan 12 to SEC'!$G$6:$G$191, MATCH($A161&amp;"% GDP", 'Database.Jan 12 to SEC'!$AD$6:$AD$191, 0))), INDEX('Database.Jan 12 to SEC'!$G$6:$G$191, MATCH($A161&amp;"% GDP", 'Database.Jan 12 to SEC'!$AD$6:$AD$191, 0)), "")</f>
        <v/>
      </c>
      <c r="P161" s="881" t="str">
        <f>IF(ISNUMBER(INDEX('Database.Jan 12 to SEC'!$H$6:$H$191, MATCH($A161&amp;"% GDP", 'Database.Jan 12 to SEC'!$AD$6:$AD$191, 0))), INDEX('Database.Jan 12 to SEC'!$H$6:$H$191, MATCH($A161&amp;"% GDP", 'Database.Jan 12 to SEC'!$AD$6:$AD$191, 0)), "")</f>
        <v/>
      </c>
      <c r="Q161" s="881" t="str">
        <f>IF(ISNUMBER(INDEX('Database.Jan 12 to SEC'!$J$6:$J$191, MATCH($A161&amp;"% GDP", 'Database.Jan 12 to SEC'!$AD$6:$AD$191, 0))), INDEX('Database.Jan 12 to SEC'!$J$6:$J$191, MATCH($A161&amp;"% GDP", 'Database.Jan 12 to SEC'!$AD$6:$AD$191, 0)), "")</f>
        <v/>
      </c>
      <c r="R161" s="881" t="str">
        <f>IF(ISNUMBER(INDEX('Database.Jan 12 to SEC'!$L$6:$L$191, MATCH($A161&amp;"% GDP", 'Database.Jan 12 to SEC'!$AD$6:$AD$191, 0))), INDEX('Database.Jan 12 to SEC'!$L$6:$L$191, MATCH($A161&amp;"% GDP", 'Database.Jan 12 to SEC'!$AD$6:$AD$191, 0)), "")</f>
        <v/>
      </c>
      <c r="S161" s="883"/>
      <c r="T161" s="882" t="str">
        <f>IF(ISNUMBER(INDEX('Database.Jan 12 to SEC'!$P$6:$P$191, MATCH($A161&amp;"% GDP", 'Database.Jan 12 to SEC'!$AD$6:$AD$191, 0))), INDEX('Database.Jan 12 to SEC'!$P$6:$P$191, MATCH($A161&amp;"% GDP", 'Database.Jan 12 to SEC'!$AD$6:$AD$191, 0)), "")</f>
        <v/>
      </c>
      <c r="U161" s="881" t="str">
        <f>IF(ISNUMBER(INDEX('Database.Jan 12 to SEC'!$Q$6:$Q$191, MATCH($A161&amp;"% GDP", 'Database.Jan 12 to SEC'!$AD$6:$AD$191, 0))), INDEX('Database.Jan 12 to SEC'!$Q$6:$Q$191, MATCH($A161&amp;"% GDP", 'Database.Jan 12 to SEC'!$AD$6:$AD$191, 0)), "")</f>
        <v/>
      </c>
      <c r="V161" s="884"/>
      <c r="W161" s="881" t="str">
        <f>IF(ISNUMBER(INDEX('Database.Jan 12 to SEC'!$U$6:$U$191, MATCH($A161&amp;"% GDP", 'Database.Jan 12 to SEC'!$AD$6:$AD$191, 0))), INDEX('Database.Jan 12 to SEC'!$U$6:$U$191, MATCH($A161&amp;"% GDP", 'Database.Jan 12 to SEC'!$AD$6:$AD$191, 0)), "")</f>
        <v/>
      </c>
      <c r="X161" s="881" t="str">
        <f>IF(ISNUMBER(INDEX('Database.Jan 12 to SEC'!$W$6:$W$191, MATCH($A161&amp;"% GDP", 'Database.Jan 12 to SEC'!$AD$6:$AD$191, 0))), INDEX('Database.Jan 12 to SEC'!$W$6:$W$191, MATCH($A161&amp;"% GDP", 'Database.Jan 12 to SEC'!$AD$6:$AD$191, 0)), "")</f>
        <v/>
      </c>
      <c r="Z161" s="898"/>
      <c r="AA161" s="479" t="s">
        <v>1265</v>
      </c>
      <c r="AC161" s="562"/>
      <c r="AF161" s="839">
        <v>2.4164497040512201</v>
      </c>
      <c r="AG161" s="833">
        <v>0.60983861014562779</v>
      </c>
      <c r="AH161" s="833">
        <v>1.8066110939055924</v>
      </c>
      <c r="AI161" s="833" t="s">
        <v>452</v>
      </c>
      <c r="AJ161" s="832"/>
      <c r="AK161" s="839">
        <v>0.60124933394639357</v>
      </c>
      <c r="AL161" s="833">
        <v>0.60124933394639357</v>
      </c>
      <c r="AM161" s="837"/>
      <c r="AN161" s="833" t="s">
        <v>452</v>
      </c>
      <c r="AO161" s="833" t="s">
        <v>452</v>
      </c>
      <c r="AP161" s="834"/>
      <c r="AQ161" s="834"/>
      <c r="AR161" s="839">
        <v>2.5012230728926022</v>
      </c>
      <c r="AS161" s="833">
        <v>0.63123283711626088</v>
      </c>
      <c r="AT161" s="833">
        <v>1.8699902357763412</v>
      </c>
      <c r="AU161" s="833" t="s">
        <v>452</v>
      </c>
      <c r="AV161" s="832"/>
      <c r="AW161" s="839">
        <v>0.62234223377659526</v>
      </c>
      <c r="AX161" s="833">
        <v>0.62234223377659526</v>
      </c>
      <c r="AY161" s="837"/>
      <c r="AZ161" s="833" t="s">
        <v>452</v>
      </c>
      <c r="BA161" s="833" t="s">
        <v>452</v>
      </c>
    </row>
    <row r="162" spans="1:53">
      <c r="A162" s="764" t="s">
        <v>1101</v>
      </c>
      <c r="B162" s="764" t="s">
        <v>1101</v>
      </c>
      <c r="C162" s="896">
        <v>8.1426909654905011E-2</v>
      </c>
      <c r="D162" s="881">
        <v>2.3264831329972858E-2</v>
      </c>
      <c r="E162" s="881">
        <v>5.816207832493215E-2</v>
      </c>
      <c r="F162" s="881">
        <v>2.5203567274137265E-2</v>
      </c>
      <c r="G162" s="883"/>
      <c r="H162" s="882" t="s">
        <v>452</v>
      </c>
      <c r="I162" s="881" t="s">
        <v>452</v>
      </c>
      <c r="J162" s="884"/>
      <c r="K162" s="881" t="s">
        <v>452</v>
      </c>
      <c r="L162" s="881" t="s">
        <v>452</v>
      </c>
      <c r="M162" s="885"/>
      <c r="N162" s="885"/>
      <c r="O162" s="882">
        <v>4.372852038229877</v>
      </c>
      <c r="P162" s="881">
        <v>1.2493862966371077</v>
      </c>
      <c r="Q162" s="881">
        <v>3.1234657415927689</v>
      </c>
      <c r="R162" s="881">
        <v>1.3535018213568666</v>
      </c>
      <c r="S162" s="883"/>
      <c r="T162" s="882" t="s">
        <v>452</v>
      </c>
      <c r="U162" s="881" t="s">
        <v>452</v>
      </c>
      <c r="V162" s="884"/>
      <c r="W162" s="881" t="s">
        <v>452</v>
      </c>
      <c r="X162" s="881" t="s">
        <v>452</v>
      </c>
      <c r="Z162" s="898"/>
      <c r="AA162" s="479" t="s">
        <v>1267</v>
      </c>
      <c r="AC162" s="717"/>
      <c r="AF162" s="839">
        <v>8.1426909654905011E-2</v>
      </c>
      <c r="AG162" s="833">
        <v>2.3264831329972858E-2</v>
      </c>
      <c r="AH162" s="833">
        <v>5.816207832493215E-2</v>
      </c>
      <c r="AI162" s="833">
        <v>2.5203567274137265E-2</v>
      </c>
      <c r="AJ162" s="832"/>
      <c r="AK162" s="839" t="s">
        <v>452</v>
      </c>
      <c r="AL162" s="833" t="s">
        <v>452</v>
      </c>
      <c r="AM162" s="837"/>
      <c r="AN162" s="833" t="s">
        <v>452</v>
      </c>
      <c r="AO162" s="833" t="s">
        <v>452</v>
      </c>
      <c r="AP162" s="834"/>
      <c r="AQ162" s="834"/>
      <c r="AR162" s="839">
        <v>4.372852038229877</v>
      </c>
      <c r="AS162" s="833">
        <v>1.2493862966371077</v>
      </c>
      <c r="AT162" s="833">
        <v>3.1234657415927689</v>
      </c>
      <c r="AU162" s="833">
        <v>1.3535018213568666</v>
      </c>
      <c r="AV162" s="832"/>
      <c r="AW162" s="839" t="s">
        <v>452</v>
      </c>
      <c r="AX162" s="833" t="s">
        <v>452</v>
      </c>
      <c r="AY162" s="837"/>
      <c r="AZ162" s="833" t="s">
        <v>452</v>
      </c>
      <c r="BA162" s="833" t="s">
        <v>452</v>
      </c>
    </row>
    <row r="163" spans="1:53">
      <c r="A163" s="764" t="s">
        <v>550</v>
      </c>
      <c r="B163" s="764" t="s">
        <v>550</v>
      </c>
      <c r="C163" s="896" t="str">
        <f>IF(ISNUMBER(INDEX('Database.Jan 12 to SEC'!$G$6:$G$191, MATCH($A163&amp;"USD bn", 'Database.Jan 12 to SEC'!$AD$6:$AD$191, 0))), INDEX('Database.Jan 12 to SEC'!$G$6:$G$191, MATCH($A163&amp;"USD bn", 'Database.Jan 12 to SEC'!$AD$6:$AD$191, 0)), "")</f>
        <v/>
      </c>
      <c r="D163" s="881" t="str">
        <f>IF(ISNUMBER(INDEX('Database.Jan 12 to SEC'!$H$6:$H$191, MATCH($A163&amp;"USD bn", 'Database.Jan 12 to SEC'!$AD$6:$AD$191, 0))), INDEX('Database.Jan 12 to SEC'!$H$6:$H$191, MATCH($A163&amp;"USD bn", 'Database.Jan 12 to SEC'!$AD$6:$AD$191, 0)), "")</f>
        <v/>
      </c>
      <c r="E163" s="881" t="str">
        <f>IF(ISNUMBER(INDEX('Database.Jan 12 to SEC'!$J$6:$J$191, MATCH($A163&amp;"USD bn", 'Database.Jan 12 to SEC'!$AD$6:$AD$191, 0))), INDEX('Database.Jan 12 to SEC'!$J$6:$J$191, MATCH($A163&amp;"USD bn", 'Database.Jan 12 to SEC'!$AD$6:$AD$191, 0)), "")</f>
        <v/>
      </c>
      <c r="F163" s="881" t="str">
        <f>IF(ISNUMBER(INDEX('Database.Jan 12 to SEC'!$L$6:$L$191, MATCH($A163&amp;"USD bn", 'Database.Jan 12 to SEC'!$AD$6:$AD$191, 0))), INDEX('Database.Jan 12 to SEC'!$L$6:$L$191, MATCH($A163&amp;"USD bn", 'Database.Jan 12 to SEC'!$AD$6:$AD$191, 0)), "")</f>
        <v/>
      </c>
      <c r="G163" s="883"/>
      <c r="H163" s="882" t="str">
        <f>IF(ISNUMBER(INDEX('Database.Jan 12 to SEC'!$P$6:$P$191, MATCH($A163&amp;"USD bn", 'Database.Jan 12 to SEC'!$AD$6:$AD$191, 0))), INDEX('Database.Jan 12 to SEC'!$P$6:$P$191, MATCH($A163&amp;"USD bn", 'Database.Jan 12 to SEC'!$AD$6:$AD$191, 0)), "")</f>
        <v/>
      </c>
      <c r="I163" s="881" t="str">
        <f>IF(ISNUMBER(INDEX('Database.Jan 12 to SEC'!$Q$6:$Q$191, MATCH($A163&amp;"USD bn", 'Database.Jan 12 to SEC'!$AD$6:$AD$191, 0))), INDEX('Database.Jan 12 to SEC'!$Q$6:$Q$191, MATCH($A163&amp;"USD bn", 'Database.Jan 12 to SEC'!$AD$6:$AD$191, 0)), "")</f>
        <v/>
      </c>
      <c r="J163" s="884"/>
      <c r="K163" s="881" t="str">
        <f>IF(ISNUMBER(INDEX('Database.Jan 12 to SEC'!$U$6:$U$191, MATCH($A163&amp;"USD bn", 'Database.Jan 12 to SEC'!$AD$6:$AD$191, 0))), INDEX('Database.Jan 12 to SEC'!$U$6:$U$191, MATCH($A163&amp;"USD bn", 'Database.Jan 12 to SEC'!$AD$6:$AD$191, 0)), "")</f>
        <v/>
      </c>
      <c r="L163" s="881" t="str">
        <f>IF(ISNUMBER(INDEX('Database.Jan 12 to SEC'!$W$6:$W$191, MATCH($A163&amp;"USD bn", 'Database.Jan 12 to SEC'!$AD$6:$AD$191, 0))), INDEX('Database.Jan 12 to SEC'!$W$6:$W$191, MATCH($A163&amp;"USD bn", 'Database.Jan 12 to SEC'!$AD$6:$AD$191, 0)), "")</f>
        <v/>
      </c>
      <c r="M163" s="885"/>
      <c r="N163" s="885"/>
      <c r="O163" s="882" t="str">
        <f>IF(ISNUMBER(INDEX('Database.Jan 12 to SEC'!$G$6:$G$191, MATCH($A163&amp;"% GDP", 'Database.Jan 12 to SEC'!$AD$6:$AD$191, 0))), INDEX('Database.Jan 12 to SEC'!$G$6:$G$191, MATCH($A163&amp;"% GDP", 'Database.Jan 12 to SEC'!$AD$6:$AD$191, 0)), "")</f>
        <v/>
      </c>
      <c r="P163" s="881" t="str">
        <f>IF(ISNUMBER(INDEX('Database.Jan 12 to SEC'!$H$6:$H$191, MATCH($A163&amp;"% GDP", 'Database.Jan 12 to SEC'!$AD$6:$AD$191, 0))), INDEX('Database.Jan 12 to SEC'!$H$6:$H$191, MATCH($A163&amp;"% GDP", 'Database.Jan 12 to SEC'!$AD$6:$AD$191, 0)), "")</f>
        <v/>
      </c>
      <c r="Q163" s="881" t="str">
        <f>IF(ISNUMBER(INDEX('Database.Jan 12 to SEC'!$J$6:$J$191, MATCH($A163&amp;"% GDP", 'Database.Jan 12 to SEC'!$AD$6:$AD$191, 0))), INDEX('Database.Jan 12 to SEC'!$J$6:$J$191, MATCH($A163&amp;"% GDP", 'Database.Jan 12 to SEC'!$AD$6:$AD$191, 0)), "")</f>
        <v/>
      </c>
      <c r="R163" s="881" t="str">
        <f>IF(ISNUMBER(INDEX('Database.Jan 12 to SEC'!$L$6:$L$191, MATCH($A163&amp;"% GDP", 'Database.Jan 12 to SEC'!$AD$6:$AD$191, 0))), INDEX('Database.Jan 12 to SEC'!$L$6:$L$191, MATCH($A163&amp;"% GDP", 'Database.Jan 12 to SEC'!$AD$6:$AD$191, 0)), "")</f>
        <v/>
      </c>
      <c r="S163" s="883"/>
      <c r="T163" s="882" t="str">
        <f>IF(ISNUMBER(INDEX('Database.Jan 12 to SEC'!$P$6:$P$191, MATCH($A163&amp;"% GDP", 'Database.Jan 12 to SEC'!$AD$6:$AD$191, 0))), INDEX('Database.Jan 12 to SEC'!$P$6:$P$191, MATCH($A163&amp;"% GDP", 'Database.Jan 12 to SEC'!$AD$6:$AD$191, 0)), "")</f>
        <v/>
      </c>
      <c r="U163" s="881" t="str">
        <f>IF(ISNUMBER(INDEX('Database.Jan 12 to SEC'!$Q$6:$Q$191, MATCH($A163&amp;"% GDP", 'Database.Jan 12 to SEC'!$AD$6:$AD$191, 0))), INDEX('Database.Jan 12 to SEC'!$Q$6:$Q$191, MATCH($A163&amp;"% GDP", 'Database.Jan 12 to SEC'!$AD$6:$AD$191, 0)), "")</f>
        <v/>
      </c>
      <c r="V163" s="884"/>
      <c r="W163" s="881" t="str">
        <f>IF(ISNUMBER(INDEX('Database.Jan 12 to SEC'!$U$6:$U$191, MATCH($A163&amp;"% GDP", 'Database.Jan 12 to SEC'!$AD$6:$AD$191, 0))), INDEX('Database.Jan 12 to SEC'!$U$6:$U$191, MATCH($A163&amp;"% GDP", 'Database.Jan 12 to SEC'!$AD$6:$AD$191, 0)), "")</f>
        <v/>
      </c>
      <c r="X163" s="881" t="str">
        <f>IF(ISNUMBER(INDEX('Database.Jan 12 to SEC'!$W$6:$W$191, MATCH($A163&amp;"% GDP", 'Database.Jan 12 to SEC'!$AD$6:$AD$191, 0))), INDEX('Database.Jan 12 to SEC'!$W$6:$W$191, MATCH($A163&amp;"% GDP", 'Database.Jan 12 to SEC'!$AD$6:$AD$191, 0)), "")</f>
        <v/>
      </c>
      <c r="Z163" s="898"/>
      <c r="AA163" s="479" t="s">
        <v>1265</v>
      </c>
      <c r="AB163" s="879" t="s">
        <v>1269</v>
      </c>
      <c r="AC163" s="562"/>
      <c r="AF163" s="839">
        <v>2.2327431550550991</v>
      </c>
      <c r="AG163" s="833">
        <v>0.75020170009851339</v>
      </c>
      <c r="AH163" s="833">
        <v>1.4825414549565856</v>
      </c>
      <c r="AI163" s="833" t="s">
        <v>452</v>
      </c>
      <c r="AJ163" s="832"/>
      <c r="AK163" s="839">
        <v>0.21434334288528953</v>
      </c>
      <c r="AL163" s="833">
        <v>0.21434334288528953</v>
      </c>
      <c r="AM163" s="837"/>
      <c r="AN163" s="833" t="s">
        <v>452</v>
      </c>
      <c r="AO163" s="833" t="s">
        <v>452</v>
      </c>
      <c r="AP163" s="834"/>
      <c r="AQ163" s="834"/>
      <c r="AR163" s="839">
        <v>3.2595714054750369</v>
      </c>
      <c r="AS163" s="833">
        <v>1.0952159922396125</v>
      </c>
      <c r="AT163" s="833">
        <v>2.1643554132354241</v>
      </c>
      <c r="AU163" s="833" t="s">
        <v>452</v>
      </c>
      <c r="AV163" s="832"/>
      <c r="AW163" s="839">
        <v>0.31291885492560356</v>
      </c>
      <c r="AX163" s="833">
        <v>0.31291885492560356</v>
      </c>
      <c r="AY163" s="837"/>
      <c r="AZ163" s="833" t="s">
        <v>452</v>
      </c>
      <c r="BA163" s="833" t="s">
        <v>452</v>
      </c>
    </row>
    <row r="164" spans="1:53">
      <c r="A164" s="764" t="s">
        <v>1102</v>
      </c>
      <c r="B164" s="764" t="s">
        <v>1102</v>
      </c>
      <c r="C164" s="896">
        <v>0.2303165058285829</v>
      </c>
      <c r="D164" s="881">
        <v>0.14228813637435375</v>
      </c>
      <c r="E164" s="881">
        <v>8.8028369454229149E-2</v>
      </c>
      <c r="F164" s="881" t="s">
        <v>452</v>
      </c>
      <c r="G164" s="883"/>
      <c r="H164" s="882" t="s">
        <v>452</v>
      </c>
      <c r="I164" s="881" t="s">
        <v>452</v>
      </c>
      <c r="J164" s="884"/>
      <c r="K164" s="881">
        <v>0</v>
      </c>
      <c r="L164" s="881" t="s">
        <v>452</v>
      </c>
      <c r="M164" s="885"/>
      <c r="N164" s="885"/>
      <c r="O164" s="882">
        <v>1.4967268439934793</v>
      </c>
      <c r="P164" s="881">
        <v>0.9246687402065934</v>
      </c>
      <c r="Q164" s="881">
        <v>0.57205810378688593</v>
      </c>
      <c r="R164" s="881" t="s">
        <v>452</v>
      </c>
      <c r="S164" s="883"/>
      <c r="T164" s="882">
        <v>5.0198587198543344E-2</v>
      </c>
      <c r="U164" s="881" t="s">
        <v>452</v>
      </c>
      <c r="V164" s="884"/>
      <c r="W164" s="881">
        <v>5.0198587198543344E-2</v>
      </c>
      <c r="X164" s="881" t="s">
        <v>452</v>
      </c>
      <c r="Z164" s="898"/>
      <c r="AA164" s="479" t="s">
        <v>1267</v>
      </c>
      <c r="AC164" s="717"/>
      <c r="AF164" s="839">
        <v>0.2303165058285829</v>
      </c>
      <c r="AG164" s="833">
        <v>0.14228813637435375</v>
      </c>
      <c r="AH164" s="833">
        <v>8.8028369454229149E-2</v>
      </c>
      <c r="AI164" s="833" t="s">
        <v>452</v>
      </c>
      <c r="AJ164" s="832"/>
      <c r="AK164" s="839" t="s">
        <v>452</v>
      </c>
      <c r="AL164" s="833" t="s">
        <v>452</v>
      </c>
      <c r="AM164" s="837"/>
      <c r="AN164" s="833">
        <v>0</v>
      </c>
      <c r="AO164" s="833" t="s">
        <v>452</v>
      </c>
      <c r="AP164" s="834"/>
      <c r="AQ164" s="834"/>
      <c r="AR164" s="839">
        <v>1.4967268439934793</v>
      </c>
      <c r="AS164" s="833">
        <v>0.9246687402065934</v>
      </c>
      <c r="AT164" s="833">
        <v>0.57205810378688593</v>
      </c>
      <c r="AU164" s="833" t="s">
        <v>452</v>
      </c>
      <c r="AV164" s="832"/>
      <c r="AW164" s="839">
        <v>5.0198587198543344E-2</v>
      </c>
      <c r="AX164" s="833" t="s">
        <v>452</v>
      </c>
      <c r="AY164" s="837"/>
      <c r="AZ164" s="833">
        <v>5.0198587198543344E-2</v>
      </c>
      <c r="BA164" s="833" t="s">
        <v>452</v>
      </c>
    </row>
    <row r="165" spans="1:53">
      <c r="A165" s="764" t="s">
        <v>566</v>
      </c>
      <c r="B165" s="764" t="s">
        <v>566</v>
      </c>
      <c r="C165" s="896" t="str">
        <f>IF(ISNUMBER(INDEX('Database.Jan 12 to SEC'!$G$6:$G$191, MATCH($A165&amp;"USD bn", 'Database.Jan 12 to SEC'!$AD$6:$AD$191, 0))), INDEX('Database.Jan 12 to SEC'!$G$6:$G$191, MATCH($A165&amp;"USD bn", 'Database.Jan 12 to SEC'!$AD$6:$AD$191, 0)), "")</f>
        <v/>
      </c>
      <c r="D165" s="881" t="str">
        <f>IF(ISNUMBER(INDEX('Database.Jan 12 to SEC'!$H$6:$H$191, MATCH($A165&amp;"USD bn", 'Database.Jan 12 to SEC'!$AD$6:$AD$191, 0))), INDEX('Database.Jan 12 to SEC'!$H$6:$H$191, MATCH($A165&amp;"USD bn", 'Database.Jan 12 to SEC'!$AD$6:$AD$191, 0)), "")</f>
        <v/>
      </c>
      <c r="E165" s="881" t="str">
        <f>IF(ISNUMBER(INDEX('Database.Jan 12 to SEC'!$J$6:$J$191, MATCH($A165&amp;"USD bn", 'Database.Jan 12 to SEC'!$AD$6:$AD$191, 0))), INDEX('Database.Jan 12 to SEC'!$J$6:$J$191, MATCH($A165&amp;"USD bn", 'Database.Jan 12 to SEC'!$AD$6:$AD$191, 0)), "")</f>
        <v/>
      </c>
      <c r="F165" s="881" t="str">
        <f>IF(ISNUMBER(INDEX('Database.Jan 12 to SEC'!$L$6:$L$191, MATCH($A165&amp;"USD bn", 'Database.Jan 12 to SEC'!$AD$6:$AD$191, 0))), INDEX('Database.Jan 12 to SEC'!$L$6:$L$191, MATCH($A165&amp;"USD bn", 'Database.Jan 12 to SEC'!$AD$6:$AD$191, 0)), "")</f>
        <v/>
      </c>
      <c r="G165" s="883"/>
      <c r="H165" s="882" t="str">
        <f>IF(ISNUMBER(INDEX('Database.Jan 12 to SEC'!$P$6:$P$191, MATCH($A165&amp;"USD bn", 'Database.Jan 12 to SEC'!$AD$6:$AD$191, 0))), INDEX('Database.Jan 12 to SEC'!$P$6:$P$191, MATCH($A165&amp;"USD bn", 'Database.Jan 12 to SEC'!$AD$6:$AD$191, 0)), "")</f>
        <v/>
      </c>
      <c r="I165" s="881" t="str">
        <f>IF(ISNUMBER(INDEX('Database.Jan 12 to SEC'!$Q$6:$Q$191, MATCH($A165&amp;"USD bn", 'Database.Jan 12 to SEC'!$AD$6:$AD$191, 0))), INDEX('Database.Jan 12 to SEC'!$Q$6:$Q$191, MATCH($A165&amp;"USD bn", 'Database.Jan 12 to SEC'!$AD$6:$AD$191, 0)), "")</f>
        <v/>
      </c>
      <c r="J165" s="884"/>
      <c r="K165" s="881" t="str">
        <f>IF(ISNUMBER(INDEX('Database.Jan 12 to SEC'!$U$6:$U$191, MATCH($A165&amp;"USD bn", 'Database.Jan 12 to SEC'!$AD$6:$AD$191, 0))), INDEX('Database.Jan 12 to SEC'!$U$6:$U$191, MATCH($A165&amp;"USD bn", 'Database.Jan 12 to SEC'!$AD$6:$AD$191, 0)), "")</f>
        <v/>
      </c>
      <c r="L165" s="881" t="str">
        <f>IF(ISNUMBER(INDEX('Database.Jan 12 to SEC'!$W$6:$W$191, MATCH($A165&amp;"USD bn", 'Database.Jan 12 to SEC'!$AD$6:$AD$191, 0))), INDEX('Database.Jan 12 to SEC'!$W$6:$W$191, MATCH($A165&amp;"USD bn", 'Database.Jan 12 to SEC'!$AD$6:$AD$191, 0)), "")</f>
        <v/>
      </c>
      <c r="M165" s="885"/>
      <c r="N165" s="885"/>
      <c r="O165" s="882" t="str">
        <f>IF(ISNUMBER(INDEX('Database.Jan 12 to SEC'!$G$6:$G$191, MATCH($A165&amp;"% GDP", 'Database.Jan 12 to SEC'!$AD$6:$AD$191, 0))), INDEX('Database.Jan 12 to SEC'!$G$6:$G$191, MATCH($A165&amp;"% GDP", 'Database.Jan 12 to SEC'!$AD$6:$AD$191, 0)), "")</f>
        <v/>
      </c>
      <c r="P165" s="881" t="str">
        <f>IF(ISNUMBER(INDEX('Database.Jan 12 to SEC'!$H$6:$H$191, MATCH($A165&amp;"% GDP", 'Database.Jan 12 to SEC'!$AD$6:$AD$191, 0))), INDEX('Database.Jan 12 to SEC'!$H$6:$H$191, MATCH($A165&amp;"% GDP", 'Database.Jan 12 to SEC'!$AD$6:$AD$191, 0)), "")</f>
        <v/>
      </c>
      <c r="Q165" s="881" t="str">
        <f>IF(ISNUMBER(INDEX('Database.Jan 12 to SEC'!$J$6:$J$191, MATCH($A165&amp;"% GDP", 'Database.Jan 12 to SEC'!$AD$6:$AD$191, 0))), INDEX('Database.Jan 12 to SEC'!$J$6:$J$191, MATCH($A165&amp;"% GDP", 'Database.Jan 12 to SEC'!$AD$6:$AD$191, 0)), "")</f>
        <v/>
      </c>
      <c r="R165" s="881" t="str">
        <f>IF(ISNUMBER(INDEX('Database.Jan 12 to SEC'!$L$6:$L$191, MATCH($A165&amp;"% GDP", 'Database.Jan 12 to SEC'!$AD$6:$AD$191, 0))), INDEX('Database.Jan 12 to SEC'!$L$6:$L$191, MATCH($A165&amp;"% GDP", 'Database.Jan 12 to SEC'!$AD$6:$AD$191, 0)), "")</f>
        <v/>
      </c>
      <c r="S165" s="883"/>
      <c r="T165" s="882" t="str">
        <f>IF(ISNUMBER(INDEX('Database.Jan 12 to SEC'!$P$6:$P$191, MATCH($A165&amp;"% GDP", 'Database.Jan 12 to SEC'!$AD$6:$AD$191, 0))), INDEX('Database.Jan 12 to SEC'!$P$6:$P$191, MATCH($A165&amp;"% GDP", 'Database.Jan 12 to SEC'!$AD$6:$AD$191, 0)), "")</f>
        <v/>
      </c>
      <c r="U165" s="881" t="str">
        <f>IF(ISNUMBER(INDEX('Database.Jan 12 to SEC'!$Q$6:$Q$191, MATCH($A165&amp;"% GDP", 'Database.Jan 12 to SEC'!$AD$6:$AD$191, 0))), INDEX('Database.Jan 12 to SEC'!$Q$6:$Q$191, MATCH($A165&amp;"% GDP", 'Database.Jan 12 to SEC'!$AD$6:$AD$191, 0)), "")</f>
        <v/>
      </c>
      <c r="V165" s="884"/>
      <c r="W165" s="881" t="str">
        <f>IF(ISNUMBER(INDEX('Database.Jan 12 to SEC'!$U$6:$U$191, MATCH($A165&amp;"% GDP", 'Database.Jan 12 to SEC'!$AD$6:$AD$191, 0))), INDEX('Database.Jan 12 to SEC'!$U$6:$U$191, MATCH($A165&amp;"% GDP", 'Database.Jan 12 to SEC'!$AD$6:$AD$191, 0)), "")</f>
        <v/>
      </c>
      <c r="X165" s="881" t="str">
        <f>IF(ISNUMBER(INDEX('Database.Jan 12 to SEC'!$W$6:$W$191, MATCH($A165&amp;"% GDP", 'Database.Jan 12 to SEC'!$AD$6:$AD$191, 0))), INDEX('Database.Jan 12 to SEC'!$W$6:$W$191, MATCH($A165&amp;"% GDP", 'Database.Jan 12 to SEC'!$AD$6:$AD$191, 0)), "")</f>
        <v/>
      </c>
      <c r="Z165" s="898"/>
      <c r="AB165" s="479" t="s">
        <v>1279</v>
      </c>
      <c r="AC165" s="562"/>
      <c r="AF165" s="839">
        <v>9.6093184602259421E-2</v>
      </c>
      <c r="AG165" s="833">
        <v>8.4557826754839902E-2</v>
      </c>
      <c r="AH165" s="833">
        <v>1.153535784741952E-2</v>
      </c>
      <c r="AI165" s="833" t="s">
        <v>452</v>
      </c>
      <c r="AJ165" s="832"/>
      <c r="AK165" s="839">
        <v>2.609809467741972E-2</v>
      </c>
      <c r="AL165" s="833">
        <v>2.609809467741972E-2</v>
      </c>
      <c r="AM165" s="837"/>
      <c r="AN165" s="833" t="s">
        <v>452</v>
      </c>
      <c r="AO165" s="833" t="s">
        <v>452</v>
      </c>
      <c r="AP165" s="834"/>
      <c r="AQ165" s="834"/>
      <c r="AR165" s="839">
        <v>6.702226729381966</v>
      </c>
      <c r="AS165" s="833">
        <v>5.8976682789781556</v>
      </c>
      <c r="AT165" s="833">
        <v>0.80455845040381035</v>
      </c>
      <c r="AU165" s="833" t="s">
        <v>452</v>
      </c>
      <c r="AV165" s="832"/>
      <c r="AW165" s="839">
        <v>1.8202679873389367</v>
      </c>
      <c r="AX165" s="833">
        <v>1.8202679873389367</v>
      </c>
      <c r="AY165" s="837"/>
      <c r="AZ165" s="833" t="s">
        <v>452</v>
      </c>
      <c r="BA165" s="833" t="s">
        <v>452</v>
      </c>
    </row>
    <row r="166" spans="1:53">
      <c r="A166" s="764" t="s">
        <v>1103</v>
      </c>
      <c r="B166" s="764" t="s">
        <v>1103</v>
      </c>
      <c r="C166" s="896">
        <v>0.08</v>
      </c>
      <c r="D166" s="881">
        <v>0.05</v>
      </c>
      <c r="E166" s="881">
        <v>0.03</v>
      </c>
      <c r="F166" s="881" t="s">
        <v>452</v>
      </c>
      <c r="G166" s="883"/>
      <c r="H166" s="882" t="s">
        <v>452</v>
      </c>
      <c r="I166" s="881" t="s">
        <v>452</v>
      </c>
      <c r="J166" s="884"/>
      <c r="K166" s="881" t="s">
        <v>452</v>
      </c>
      <c r="L166" s="881" t="s">
        <v>452</v>
      </c>
      <c r="M166" s="885"/>
      <c r="N166" s="885"/>
      <c r="O166" s="882">
        <v>0.57999999999999996</v>
      </c>
      <c r="P166" s="881">
        <v>0.39</v>
      </c>
      <c r="Q166" s="881">
        <v>0.18999999999999995</v>
      </c>
      <c r="R166" s="881" t="s">
        <v>452</v>
      </c>
      <c r="S166" s="883"/>
      <c r="T166" s="882" t="s">
        <v>452</v>
      </c>
      <c r="U166" s="881" t="s">
        <v>452</v>
      </c>
      <c r="V166" s="884"/>
      <c r="W166" s="881" t="s">
        <v>452</v>
      </c>
      <c r="X166" s="881" t="s">
        <v>452</v>
      </c>
      <c r="Z166" s="898"/>
      <c r="AA166" s="479" t="s">
        <v>1267</v>
      </c>
      <c r="AC166" s="717"/>
      <c r="AF166" s="839">
        <v>0.08</v>
      </c>
      <c r="AG166" s="833">
        <v>0.05</v>
      </c>
      <c r="AH166" s="833">
        <v>0.03</v>
      </c>
      <c r="AI166" s="833" t="s">
        <v>452</v>
      </c>
      <c r="AJ166" s="832"/>
      <c r="AK166" s="839" t="s">
        <v>452</v>
      </c>
      <c r="AL166" s="833" t="s">
        <v>452</v>
      </c>
      <c r="AM166" s="837"/>
      <c r="AN166" s="833" t="s">
        <v>452</v>
      </c>
      <c r="AO166" s="833" t="s">
        <v>452</v>
      </c>
      <c r="AP166" s="834"/>
      <c r="AQ166" s="834"/>
      <c r="AR166" s="839">
        <v>0.57999999999999996</v>
      </c>
      <c r="AS166" s="833">
        <v>0.39</v>
      </c>
      <c r="AT166" s="833">
        <v>0.18999999999999995</v>
      </c>
      <c r="AU166" s="833" t="s">
        <v>452</v>
      </c>
      <c r="AV166" s="832"/>
      <c r="AW166" s="839" t="s">
        <v>452</v>
      </c>
      <c r="AX166" s="833" t="s">
        <v>452</v>
      </c>
      <c r="AY166" s="837"/>
      <c r="AZ166" s="833" t="s">
        <v>452</v>
      </c>
      <c r="BA166" s="833" t="s">
        <v>452</v>
      </c>
    </row>
    <row r="167" spans="1:53">
      <c r="A167" s="764" t="s">
        <v>38</v>
      </c>
      <c r="B167" s="764" t="s">
        <v>38</v>
      </c>
      <c r="C167" s="896" t="str">
        <f>IF(ISNUMBER(INDEX('Database.Jan 12 to SEC'!$G$6:$G$191, MATCH($A167&amp;"USD bn", 'Database.Jan 12 to SEC'!$AD$6:$AD$191, 0))), INDEX('Database.Jan 12 to SEC'!$G$6:$G$191, MATCH($A167&amp;"USD bn", 'Database.Jan 12 to SEC'!$AD$6:$AD$191, 0)), "")</f>
        <v/>
      </c>
      <c r="D167" s="881" t="str">
        <f>IF(ISNUMBER(INDEX('Database.Jan 12 to SEC'!$H$6:$H$191, MATCH($A167&amp;"USD bn", 'Database.Jan 12 to SEC'!$AD$6:$AD$191, 0))), INDEX('Database.Jan 12 to SEC'!$H$6:$H$191, MATCH($A167&amp;"USD bn", 'Database.Jan 12 to SEC'!$AD$6:$AD$191, 0)), "")</f>
        <v/>
      </c>
      <c r="E167" s="881" t="str">
        <f>IF(ISNUMBER(INDEX('Database.Jan 12 to SEC'!$J$6:$J$191, MATCH($A167&amp;"USD bn", 'Database.Jan 12 to SEC'!$AD$6:$AD$191, 0))), INDEX('Database.Jan 12 to SEC'!$J$6:$J$191, MATCH($A167&amp;"USD bn", 'Database.Jan 12 to SEC'!$AD$6:$AD$191, 0)), "")</f>
        <v/>
      </c>
      <c r="F167" s="881" t="str">
        <f>IF(ISNUMBER(INDEX('Database.Jan 12 to SEC'!$L$6:$L$191, MATCH($A167&amp;"USD bn", 'Database.Jan 12 to SEC'!$AD$6:$AD$191, 0))), INDEX('Database.Jan 12 to SEC'!$L$6:$L$191, MATCH($A167&amp;"USD bn", 'Database.Jan 12 to SEC'!$AD$6:$AD$191, 0)), "")</f>
        <v/>
      </c>
      <c r="G167" s="883"/>
      <c r="H167" s="882" t="str">
        <f>IF(ISNUMBER(INDEX('Database.Jan 12 to SEC'!$P$6:$P$191, MATCH($A167&amp;"USD bn", 'Database.Jan 12 to SEC'!$AD$6:$AD$191, 0))), INDEX('Database.Jan 12 to SEC'!$P$6:$P$191, MATCH($A167&amp;"USD bn", 'Database.Jan 12 to SEC'!$AD$6:$AD$191, 0)), "")</f>
        <v/>
      </c>
      <c r="I167" s="881" t="str">
        <f>IF(ISNUMBER(INDEX('Database.Jan 12 to SEC'!$Q$6:$Q$191, MATCH($A167&amp;"USD bn", 'Database.Jan 12 to SEC'!$AD$6:$AD$191, 0))), INDEX('Database.Jan 12 to SEC'!$Q$6:$Q$191, MATCH($A167&amp;"USD bn", 'Database.Jan 12 to SEC'!$AD$6:$AD$191, 0)), "")</f>
        <v/>
      </c>
      <c r="J167" s="884"/>
      <c r="K167" s="881" t="str">
        <f>IF(ISNUMBER(INDEX('Database.Jan 12 to SEC'!$U$6:$U$191, MATCH($A167&amp;"USD bn", 'Database.Jan 12 to SEC'!$AD$6:$AD$191, 0))), INDEX('Database.Jan 12 to SEC'!$U$6:$U$191, MATCH($A167&amp;"USD bn", 'Database.Jan 12 to SEC'!$AD$6:$AD$191, 0)), "")</f>
        <v/>
      </c>
      <c r="L167" s="881" t="str">
        <f>IF(ISNUMBER(INDEX('Database.Jan 12 to SEC'!$W$6:$W$191, MATCH($A167&amp;"USD bn", 'Database.Jan 12 to SEC'!$AD$6:$AD$191, 0))), INDEX('Database.Jan 12 to SEC'!$W$6:$W$191, MATCH($A167&amp;"USD bn", 'Database.Jan 12 to SEC'!$AD$6:$AD$191, 0)), "")</f>
        <v/>
      </c>
      <c r="M167" s="885"/>
      <c r="N167" s="885"/>
      <c r="O167" s="882" t="str">
        <f>IF(ISNUMBER(INDEX('Database.Jan 12 to SEC'!$G$6:$G$191, MATCH($A167&amp;"% GDP", 'Database.Jan 12 to SEC'!$AD$6:$AD$191, 0))), INDEX('Database.Jan 12 to SEC'!$G$6:$G$191, MATCH($A167&amp;"% GDP", 'Database.Jan 12 to SEC'!$AD$6:$AD$191, 0)), "")</f>
        <v/>
      </c>
      <c r="P167" s="881" t="str">
        <f>IF(ISNUMBER(INDEX('Database.Jan 12 to SEC'!$H$6:$H$191, MATCH($A167&amp;"% GDP", 'Database.Jan 12 to SEC'!$AD$6:$AD$191, 0))), INDEX('Database.Jan 12 to SEC'!$H$6:$H$191, MATCH($A167&amp;"% GDP", 'Database.Jan 12 to SEC'!$AD$6:$AD$191, 0)), "")</f>
        <v/>
      </c>
      <c r="Q167" s="881" t="str">
        <f>IF(ISNUMBER(INDEX('Database.Jan 12 to SEC'!$J$6:$J$191, MATCH($A167&amp;"% GDP", 'Database.Jan 12 to SEC'!$AD$6:$AD$191, 0))), INDEX('Database.Jan 12 to SEC'!$J$6:$J$191, MATCH($A167&amp;"% GDP", 'Database.Jan 12 to SEC'!$AD$6:$AD$191, 0)), "")</f>
        <v/>
      </c>
      <c r="R167" s="881" t="str">
        <f>IF(ISNUMBER(INDEX('Database.Jan 12 to SEC'!$L$6:$L$191, MATCH($A167&amp;"% GDP", 'Database.Jan 12 to SEC'!$AD$6:$AD$191, 0))), INDEX('Database.Jan 12 to SEC'!$L$6:$L$191, MATCH($A167&amp;"% GDP", 'Database.Jan 12 to SEC'!$AD$6:$AD$191, 0)), "")</f>
        <v/>
      </c>
      <c r="S167" s="883"/>
      <c r="T167" s="882" t="str">
        <f>IF(ISNUMBER(INDEX('Database.Jan 12 to SEC'!$P$6:$P$191, MATCH($A167&amp;"% GDP", 'Database.Jan 12 to SEC'!$AD$6:$AD$191, 0))), INDEX('Database.Jan 12 to SEC'!$P$6:$P$191, MATCH($A167&amp;"% GDP", 'Database.Jan 12 to SEC'!$AD$6:$AD$191, 0)), "")</f>
        <v/>
      </c>
      <c r="U167" s="881" t="str">
        <f>IF(ISNUMBER(INDEX('Database.Jan 12 to SEC'!$Q$6:$Q$191, MATCH($A167&amp;"% GDP", 'Database.Jan 12 to SEC'!$AD$6:$AD$191, 0))), INDEX('Database.Jan 12 to SEC'!$Q$6:$Q$191, MATCH($A167&amp;"% GDP", 'Database.Jan 12 to SEC'!$AD$6:$AD$191, 0)), "")</f>
        <v/>
      </c>
      <c r="V167" s="884"/>
      <c r="W167" s="881" t="str">
        <f>IF(ISNUMBER(INDEX('Database.Jan 12 to SEC'!$U$6:$U$191, MATCH($A167&amp;"% GDP", 'Database.Jan 12 to SEC'!$AD$6:$AD$191, 0))), INDEX('Database.Jan 12 to SEC'!$U$6:$U$191, MATCH($A167&amp;"% GDP", 'Database.Jan 12 to SEC'!$AD$6:$AD$191, 0)), "")</f>
        <v/>
      </c>
      <c r="X167" s="881" t="str">
        <f>IF(ISNUMBER(INDEX('Database.Jan 12 to SEC'!$W$6:$W$191, MATCH($A167&amp;"% GDP", 'Database.Jan 12 to SEC'!$AD$6:$AD$191, 0))), INDEX('Database.Jan 12 to SEC'!$W$6:$W$191, MATCH($A167&amp;"% GDP", 'Database.Jan 12 to SEC'!$AD$6:$AD$191, 0)), "")</f>
        <v/>
      </c>
      <c r="Z167" s="898"/>
      <c r="AA167" s="479" t="s">
        <v>1265</v>
      </c>
      <c r="AC167" s="562"/>
      <c r="AF167" s="839">
        <v>0.81767544130184866</v>
      </c>
      <c r="AG167" s="833">
        <v>0.51664070171808341</v>
      </c>
      <c r="AH167" s="833">
        <v>0.30103473958376525</v>
      </c>
      <c r="AI167" s="833" t="s">
        <v>452</v>
      </c>
      <c r="AJ167" s="832"/>
      <c r="AK167" s="839">
        <v>0.27967754522140348</v>
      </c>
      <c r="AL167" s="833" t="s">
        <v>452</v>
      </c>
      <c r="AM167" s="837"/>
      <c r="AN167" s="833">
        <v>0.27967754522140348</v>
      </c>
      <c r="AO167" s="833">
        <v>0</v>
      </c>
      <c r="AP167" s="834"/>
      <c r="AQ167" s="834"/>
      <c r="AR167" s="839">
        <v>2.6974720248249375</v>
      </c>
      <c r="AS167" s="833">
        <v>2.1682211845111836</v>
      </c>
      <c r="AT167" s="833">
        <v>0.52925084031375391</v>
      </c>
      <c r="AU167" s="833" t="s">
        <v>452</v>
      </c>
      <c r="AV167" s="832"/>
      <c r="AW167" s="839">
        <v>1.173741782953889</v>
      </c>
      <c r="AX167" s="833" t="s">
        <v>452</v>
      </c>
      <c r="AY167" s="837"/>
      <c r="AZ167" s="833">
        <v>1.173741782953889</v>
      </c>
      <c r="BA167" s="833">
        <v>0</v>
      </c>
    </row>
    <row r="168" spans="1:53">
      <c r="A168" s="764" t="s">
        <v>552</v>
      </c>
      <c r="B168" s="764" t="s">
        <v>552</v>
      </c>
      <c r="C168" s="896" t="str">
        <f>IF(ISNUMBER(INDEX('Database.Jan 12 to SEC'!$G$6:$G$191, MATCH($A168&amp;"USD bn", 'Database.Jan 12 to SEC'!$AD$6:$AD$191, 0))), INDEX('Database.Jan 12 to SEC'!$G$6:$G$191, MATCH($A168&amp;"USD bn", 'Database.Jan 12 to SEC'!$AD$6:$AD$191, 0)), "")</f>
        <v/>
      </c>
      <c r="D168" s="881" t="str">
        <f>IF(ISNUMBER(INDEX('Database.Jan 12 to SEC'!$H$6:$H$191, MATCH($A168&amp;"USD bn", 'Database.Jan 12 to SEC'!$AD$6:$AD$191, 0))), INDEX('Database.Jan 12 to SEC'!$H$6:$H$191, MATCH($A168&amp;"USD bn", 'Database.Jan 12 to SEC'!$AD$6:$AD$191, 0)), "")</f>
        <v/>
      </c>
      <c r="E168" s="881" t="str">
        <f>IF(ISNUMBER(INDEX('Database.Jan 12 to SEC'!$J$6:$J$191, MATCH($A168&amp;"USD bn", 'Database.Jan 12 to SEC'!$AD$6:$AD$191, 0))), INDEX('Database.Jan 12 to SEC'!$J$6:$J$191, MATCH($A168&amp;"USD bn", 'Database.Jan 12 to SEC'!$AD$6:$AD$191, 0)), "")</f>
        <v/>
      </c>
      <c r="F168" s="881" t="str">
        <f>IF(ISNUMBER(INDEX('Database.Jan 12 to SEC'!$L$6:$L$191, MATCH($A168&amp;"USD bn", 'Database.Jan 12 to SEC'!$AD$6:$AD$191, 0))), INDEX('Database.Jan 12 to SEC'!$L$6:$L$191, MATCH($A168&amp;"USD bn", 'Database.Jan 12 to SEC'!$AD$6:$AD$191, 0)), "")</f>
        <v/>
      </c>
      <c r="G168" s="883"/>
      <c r="H168" s="882" t="str">
        <f>IF(ISNUMBER(INDEX('Database.Jan 12 to SEC'!$P$6:$P$191, MATCH($A168&amp;"USD bn", 'Database.Jan 12 to SEC'!$AD$6:$AD$191, 0))), INDEX('Database.Jan 12 to SEC'!$P$6:$P$191, MATCH($A168&amp;"USD bn", 'Database.Jan 12 to SEC'!$AD$6:$AD$191, 0)), "")</f>
        <v/>
      </c>
      <c r="I168" s="881" t="str">
        <f>IF(ISNUMBER(INDEX('Database.Jan 12 to SEC'!$Q$6:$Q$191, MATCH($A168&amp;"USD bn", 'Database.Jan 12 to SEC'!$AD$6:$AD$191, 0))), INDEX('Database.Jan 12 to SEC'!$Q$6:$Q$191, MATCH($A168&amp;"USD bn", 'Database.Jan 12 to SEC'!$AD$6:$AD$191, 0)), "")</f>
        <v/>
      </c>
      <c r="J168" s="884"/>
      <c r="K168" s="881" t="str">
        <f>IF(ISNUMBER(INDEX('Database.Jan 12 to SEC'!$U$6:$U$191, MATCH($A168&amp;"USD bn", 'Database.Jan 12 to SEC'!$AD$6:$AD$191, 0))), INDEX('Database.Jan 12 to SEC'!$U$6:$U$191, MATCH($A168&amp;"USD bn", 'Database.Jan 12 to SEC'!$AD$6:$AD$191, 0)), "")</f>
        <v/>
      </c>
      <c r="L168" s="881" t="str">
        <f>IF(ISNUMBER(INDEX('Database.Jan 12 to SEC'!$W$6:$W$191, MATCH($A168&amp;"USD bn", 'Database.Jan 12 to SEC'!$AD$6:$AD$191, 0))), INDEX('Database.Jan 12 to SEC'!$W$6:$W$191, MATCH($A168&amp;"USD bn", 'Database.Jan 12 to SEC'!$AD$6:$AD$191, 0)), "")</f>
        <v/>
      </c>
      <c r="M168" s="885"/>
      <c r="N168" s="885"/>
      <c r="O168" s="882" t="str">
        <f>IF(ISNUMBER(INDEX('Database.Jan 12 to SEC'!$G$6:$G$191, MATCH($A168&amp;"% GDP", 'Database.Jan 12 to SEC'!$AD$6:$AD$191, 0))), INDEX('Database.Jan 12 to SEC'!$G$6:$G$191, MATCH($A168&amp;"% GDP", 'Database.Jan 12 to SEC'!$AD$6:$AD$191, 0)), "")</f>
        <v/>
      </c>
      <c r="P168" s="881" t="str">
        <f>IF(ISNUMBER(INDEX('Database.Jan 12 to SEC'!$H$6:$H$191, MATCH($A168&amp;"% GDP", 'Database.Jan 12 to SEC'!$AD$6:$AD$191, 0))), INDEX('Database.Jan 12 to SEC'!$H$6:$H$191, MATCH($A168&amp;"% GDP", 'Database.Jan 12 to SEC'!$AD$6:$AD$191, 0)), "")</f>
        <v/>
      </c>
      <c r="Q168" s="881" t="str">
        <f>IF(ISNUMBER(INDEX('Database.Jan 12 to SEC'!$J$6:$J$191, MATCH($A168&amp;"% GDP", 'Database.Jan 12 to SEC'!$AD$6:$AD$191, 0))), INDEX('Database.Jan 12 to SEC'!$J$6:$J$191, MATCH($A168&amp;"% GDP", 'Database.Jan 12 to SEC'!$AD$6:$AD$191, 0)), "")</f>
        <v/>
      </c>
      <c r="R168" s="881" t="str">
        <f>IF(ISNUMBER(INDEX('Database.Jan 12 to SEC'!$L$6:$L$191, MATCH($A168&amp;"% GDP", 'Database.Jan 12 to SEC'!$AD$6:$AD$191, 0))), INDEX('Database.Jan 12 to SEC'!$L$6:$L$191, MATCH($A168&amp;"% GDP", 'Database.Jan 12 to SEC'!$AD$6:$AD$191, 0)), "")</f>
        <v/>
      </c>
      <c r="S168" s="883"/>
      <c r="T168" s="882" t="str">
        <f>IF(ISNUMBER(INDEX('Database.Jan 12 to SEC'!$P$6:$P$191, MATCH($A168&amp;"% GDP", 'Database.Jan 12 to SEC'!$AD$6:$AD$191, 0))), INDEX('Database.Jan 12 to SEC'!$P$6:$P$191, MATCH($A168&amp;"% GDP", 'Database.Jan 12 to SEC'!$AD$6:$AD$191, 0)), "")</f>
        <v/>
      </c>
      <c r="U168" s="881" t="str">
        <f>IF(ISNUMBER(INDEX('Database.Jan 12 to SEC'!$Q$6:$Q$191, MATCH($A168&amp;"% GDP", 'Database.Jan 12 to SEC'!$AD$6:$AD$191, 0))), INDEX('Database.Jan 12 to SEC'!$Q$6:$Q$191, MATCH($A168&amp;"% GDP", 'Database.Jan 12 to SEC'!$AD$6:$AD$191, 0)), "")</f>
        <v/>
      </c>
      <c r="V168" s="884"/>
      <c r="W168" s="881" t="str">
        <f>IF(ISNUMBER(INDEX('Database.Jan 12 to SEC'!$U$6:$U$191, MATCH($A168&amp;"% GDP", 'Database.Jan 12 to SEC'!$AD$6:$AD$191, 0))), INDEX('Database.Jan 12 to SEC'!$U$6:$U$191, MATCH($A168&amp;"% GDP", 'Database.Jan 12 to SEC'!$AD$6:$AD$191, 0)), "")</f>
        <v/>
      </c>
      <c r="X168" s="881" t="str">
        <f>IF(ISNUMBER(INDEX('Database.Jan 12 to SEC'!$W$6:$W$191, MATCH($A168&amp;"% GDP", 'Database.Jan 12 to SEC'!$AD$6:$AD$191, 0))), INDEX('Database.Jan 12 to SEC'!$W$6:$W$191, MATCH($A168&amp;"% GDP", 'Database.Jan 12 to SEC'!$AD$6:$AD$191, 0)), "")</f>
        <v/>
      </c>
      <c r="Z168" s="898"/>
      <c r="AA168" s="479" t="s">
        <v>1267</v>
      </c>
      <c r="AC168" s="562"/>
      <c r="AF168" s="839">
        <v>2.5109136596508708</v>
      </c>
      <c r="AG168" s="833">
        <v>0.20575013296076938</v>
      </c>
      <c r="AH168" s="833">
        <v>2.3051635266901016</v>
      </c>
      <c r="AI168" s="833">
        <v>0.3143404809122865</v>
      </c>
      <c r="AJ168" s="832"/>
      <c r="AK168" s="839" t="s">
        <v>452</v>
      </c>
      <c r="AL168" s="833" t="s">
        <v>452</v>
      </c>
      <c r="AM168" s="837"/>
      <c r="AN168" s="833" t="s">
        <v>452</v>
      </c>
      <c r="AO168" s="833" t="s">
        <v>452</v>
      </c>
      <c r="AP168" s="834"/>
      <c r="AQ168" s="834"/>
      <c r="AR168" s="839">
        <v>2.4514108377373729</v>
      </c>
      <c r="AS168" s="833">
        <v>0.20087433268257682</v>
      </c>
      <c r="AT168" s="833">
        <v>2.2505365050547961</v>
      </c>
      <c r="AU168" s="833">
        <v>0.30689134159838122</v>
      </c>
      <c r="AV168" s="832"/>
      <c r="AW168" s="839" t="s">
        <v>452</v>
      </c>
      <c r="AX168" s="833" t="s">
        <v>452</v>
      </c>
      <c r="AY168" s="837"/>
      <c r="AZ168" s="833" t="s">
        <v>452</v>
      </c>
      <c r="BA168" s="833" t="s">
        <v>452</v>
      </c>
    </row>
    <row r="169" spans="1:53">
      <c r="A169" s="764" t="s">
        <v>1104</v>
      </c>
      <c r="B169" s="764" t="s">
        <v>1104</v>
      </c>
      <c r="C169" s="896">
        <v>2.0712673244871121E-2</v>
      </c>
      <c r="D169" s="881">
        <v>6.9042244149570406E-3</v>
      </c>
      <c r="E169" s="881">
        <v>1.3808448829914079E-2</v>
      </c>
      <c r="F169" s="881" t="s">
        <v>452</v>
      </c>
      <c r="G169" s="883"/>
      <c r="H169" s="882" t="s">
        <v>452</v>
      </c>
      <c r="I169" s="881" t="s">
        <v>452</v>
      </c>
      <c r="J169" s="884"/>
      <c r="K169" s="881" t="s">
        <v>452</v>
      </c>
      <c r="L169" s="881" t="s">
        <v>452</v>
      </c>
      <c r="M169" s="885"/>
      <c r="N169" s="885"/>
      <c r="O169" s="882">
        <v>10.441765007350371</v>
      </c>
      <c r="P169" s="881">
        <v>3.4805883357834571</v>
      </c>
      <c r="Q169" s="881">
        <v>6.9611766715669123</v>
      </c>
      <c r="R169" s="881" t="s">
        <v>452</v>
      </c>
      <c r="S169" s="883"/>
      <c r="T169" s="882" t="s">
        <v>452</v>
      </c>
      <c r="U169" s="881" t="s">
        <v>452</v>
      </c>
      <c r="V169" s="884"/>
      <c r="W169" s="881" t="s">
        <v>452</v>
      </c>
      <c r="X169" s="881" t="s">
        <v>452</v>
      </c>
      <c r="Z169" s="898"/>
      <c r="AA169" s="479" t="s">
        <v>1267</v>
      </c>
      <c r="AC169" s="717"/>
      <c r="AF169" s="839">
        <v>2.0712673244871121E-2</v>
      </c>
      <c r="AG169" s="833">
        <v>6.9042244149570406E-3</v>
      </c>
      <c r="AH169" s="833">
        <v>1.3808448829914079E-2</v>
      </c>
      <c r="AI169" s="833" t="s">
        <v>452</v>
      </c>
      <c r="AJ169" s="832"/>
      <c r="AK169" s="839" t="s">
        <v>452</v>
      </c>
      <c r="AL169" s="833" t="s">
        <v>452</v>
      </c>
      <c r="AM169" s="837"/>
      <c r="AN169" s="833" t="s">
        <v>452</v>
      </c>
      <c r="AO169" s="833" t="s">
        <v>452</v>
      </c>
      <c r="AP169" s="834"/>
      <c r="AQ169" s="834"/>
      <c r="AR169" s="839">
        <v>10.441765007350371</v>
      </c>
      <c r="AS169" s="833">
        <v>3.4805883357834571</v>
      </c>
      <c r="AT169" s="833">
        <v>6.9611766715669123</v>
      </c>
      <c r="AU169" s="833" t="s">
        <v>452</v>
      </c>
      <c r="AV169" s="832"/>
      <c r="AW169" s="839" t="s">
        <v>452</v>
      </c>
      <c r="AX169" s="833" t="s">
        <v>452</v>
      </c>
      <c r="AY169" s="837"/>
      <c r="AZ169" s="833" t="s">
        <v>452</v>
      </c>
      <c r="BA169" s="833" t="s">
        <v>452</v>
      </c>
    </row>
    <row r="170" spans="1:53" s="389" customFormat="1">
      <c r="A170" s="887" t="s">
        <v>1105</v>
      </c>
      <c r="B170" s="887" t="s">
        <v>1105</v>
      </c>
      <c r="C170" s="896">
        <v>0.45600000000000002</v>
      </c>
      <c r="D170" s="881">
        <v>2.5000000000000001E-2</v>
      </c>
      <c r="E170" s="881">
        <v>0.43099999999999999</v>
      </c>
      <c r="F170" s="881" t="s">
        <v>452</v>
      </c>
      <c r="G170" s="883"/>
      <c r="H170" s="882" t="s">
        <v>452</v>
      </c>
      <c r="I170" s="881" t="s">
        <v>452</v>
      </c>
      <c r="J170" s="884"/>
      <c r="K170" s="881" t="s">
        <v>452</v>
      </c>
      <c r="L170" s="881" t="s">
        <v>452</v>
      </c>
      <c r="M170" s="885"/>
      <c r="N170" s="885"/>
      <c r="O170" s="882">
        <v>6.1</v>
      </c>
      <c r="P170" s="881">
        <v>0.3</v>
      </c>
      <c r="Q170" s="881">
        <v>5.8</v>
      </c>
      <c r="R170" s="881" t="s">
        <v>452</v>
      </c>
      <c r="S170" s="883"/>
      <c r="T170" s="882" t="s">
        <v>452</v>
      </c>
      <c r="U170" s="881" t="s">
        <v>452</v>
      </c>
      <c r="V170" s="884"/>
      <c r="W170" s="881" t="s">
        <v>452</v>
      </c>
      <c r="X170" s="881" t="s">
        <v>452</v>
      </c>
      <c r="Z170" s="898"/>
      <c r="AA170" s="389" t="s">
        <v>1295</v>
      </c>
      <c r="AB170" s="870" t="s">
        <v>1287</v>
      </c>
      <c r="AC170" s="887"/>
      <c r="AF170" s="839">
        <v>0.45600000000000002</v>
      </c>
      <c r="AG170" s="833">
        <v>2.5000000000000001E-2</v>
      </c>
      <c r="AH170" s="833">
        <v>0.43099999999999999</v>
      </c>
      <c r="AI170" s="833" t="s">
        <v>452</v>
      </c>
      <c r="AJ170" s="832"/>
      <c r="AK170" s="839" t="s">
        <v>452</v>
      </c>
      <c r="AL170" s="833" t="s">
        <v>452</v>
      </c>
      <c r="AM170" s="837"/>
      <c r="AN170" s="833" t="s">
        <v>452</v>
      </c>
      <c r="AO170" s="833" t="s">
        <v>452</v>
      </c>
      <c r="AP170" s="834"/>
      <c r="AQ170" s="834"/>
      <c r="AR170" s="839">
        <v>6.1</v>
      </c>
      <c r="AS170" s="833">
        <v>0.3</v>
      </c>
      <c r="AT170" s="833">
        <v>5.8</v>
      </c>
      <c r="AU170" s="833" t="s">
        <v>452</v>
      </c>
      <c r="AV170" s="832"/>
      <c r="AW170" s="839" t="s">
        <v>452</v>
      </c>
      <c r="AX170" s="833" t="s">
        <v>452</v>
      </c>
      <c r="AY170" s="837"/>
      <c r="AZ170" s="833" t="s">
        <v>452</v>
      </c>
      <c r="BA170" s="833" t="s">
        <v>452</v>
      </c>
    </row>
    <row r="171" spans="1:53">
      <c r="A171" s="764" t="s">
        <v>1106</v>
      </c>
      <c r="B171" s="764" t="s">
        <v>1106</v>
      </c>
      <c r="C171" s="896">
        <v>1.7167277446225499E-2</v>
      </c>
      <c r="D171" s="881">
        <v>1.70016766991558E-2</v>
      </c>
      <c r="E171" s="881">
        <v>1.6560074706969933E-4</v>
      </c>
      <c r="F171" s="881" t="s">
        <v>452</v>
      </c>
      <c r="G171" s="883"/>
      <c r="H171" s="882" t="s">
        <v>452</v>
      </c>
      <c r="I171" s="881" t="s">
        <v>452</v>
      </c>
      <c r="J171" s="884"/>
      <c r="K171" s="881" t="s">
        <v>452</v>
      </c>
      <c r="L171" s="881" t="s">
        <v>452</v>
      </c>
      <c r="M171" s="885"/>
      <c r="N171" s="885"/>
      <c r="O171" s="882">
        <v>9.121698970399475E-2</v>
      </c>
      <c r="P171" s="881">
        <v>9.0337083050901559E-2</v>
      </c>
      <c r="Q171" s="881">
        <v>8.79906653093197E-4</v>
      </c>
      <c r="R171" s="881" t="s">
        <v>452</v>
      </c>
      <c r="S171" s="883"/>
      <c r="T171" s="882" t="s">
        <v>452</v>
      </c>
      <c r="U171" s="881" t="s">
        <v>452</v>
      </c>
      <c r="V171" s="884"/>
      <c r="W171" s="881" t="s">
        <v>452</v>
      </c>
      <c r="X171" s="881" t="s">
        <v>452</v>
      </c>
      <c r="Z171" s="898"/>
      <c r="AA171" s="479" t="s">
        <v>1267</v>
      </c>
      <c r="AC171" s="717"/>
      <c r="AF171" s="839">
        <v>1.7167277446225499E-2</v>
      </c>
      <c r="AG171" s="833">
        <v>1.70016766991558E-2</v>
      </c>
      <c r="AH171" s="833">
        <v>1.6560074706969933E-4</v>
      </c>
      <c r="AI171" s="833" t="s">
        <v>452</v>
      </c>
      <c r="AJ171" s="832"/>
      <c r="AK171" s="839" t="s">
        <v>452</v>
      </c>
      <c r="AL171" s="833" t="s">
        <v>452</v>
      </c>
      <c r="AM171" s="837"/>
      <c r="AN171" s="833" t="s">
        <v>452</v>
      </c>
      <c r="AO171" s="833" t="s">
        <v>452</v>
      </c>
      <c r="AP171" s="834"/>
      <c r="AQ171" s="834"/>
      <c r="AR171" s="839">
        <v>9.121698970399475E-2</v>
      </c>
      <c r="AS171" s="833">
        <v>9.0337083050901559E-2</v>
      </c>
      <c r="AT171" s="833">
        <v>8.79906653093197E-4</v>
      </c>
      <c r="AU171" s="833" t="s">
        <v>452</v>
      </c>
      <c r="AV171" s="832"/>
      <c r="AW171" s="839" t="s">
        <v>452</v>
      </c>
      <c r="AX171" s="833" t="s">
        <v>452</v>
      </c>
      <c r="AY171" s="837"/>
      <c r="AZ171" s="833" t="s">
        <v>452</v>
      </c>
      <c r="BA171" s="833" t="s">
        <v>452</v>
      </c>
    </row>
    <row r="172" spans="1:53">
      <c r="A172" s="764" t="s">
        <v>1107</v>
      </c>
      <c r="B172" s="764" t="s">
        <v>1107</v>
      </c>
      <c r="C172" s="896">
        <v>0.11109363662436215</v>
      </c>
      <c r="D172" s="881">
        <v>4.281735300578024E-2</v>
      </c>
      <c r="E172" s="881">
        <v>6.8276283618581915E-2</v>
      </c>
      <c r="F172" s="881" t="s">
        <v>452</v>
      </c>
      <c r="G172" s="883"/>
      <c r="H172" s="882">
        <v>2.7588113298475585E-2</v>
      </c>
      <c r="I172" s="881" t="s">
        <v>452</v>
      </c>
      <c r="J172" s="884"/>
      <c r="K172" s="881">
        <v>2.7500509268690215E-2</v>
      </c>
      <c r="L172" s="881">
        <v>8.7604029785370131E-5</v>
      </c>
      <c r="M172" s="885"/>
      <c r="N172" s="885"/>
      <c r="O172" s="882">
        <v>3.6762020693852713</v>
      </c>
      <c r="P172" s="881">
        <v>0.27693244065733413</v>
      </c>
      <c r="Q172" s="881">
        <v>3.3992696287279371</v>
      </c>
      <c r="R172" s="881" t="s">
        <v>452</v>
      </c>
      <c r="S172" s="883"/>
      <c r="T172" s="882" t="s">
        <v>452</v>
      </c>
      <c r="U172" s="881" t="s">
        <v>452</v>
      </c>
      <c r="V172" s="884"/>
      <c r="W172" s="881">
        <v>0</v>
      </c>
      <c r="X172" s="881" t="s">
        <v>452</v>
      </c>
      <c r="Z172" s="898"/>
      <c r="AA172" s="479" t="s">
        <v>1267</v>
      </c>
      <c r="AC172" s="717"/>
      <c r="AF172" s="839">
        <v>0.11109363662436215</v>
      </c>
      <c r="AG172" s="833">
        <v>4.281735300578024E-2</v>
      </c>
      <c r="AH172" s="833">
        <v>6.8276283618581915E-2</v>
      </c>
      <c r="AI172" s="833" t="s">
        <v>452</v>
      </c>
      <c r="AJ172" s="832"/>
      <c r="AK172" s="839">
        <v>2.7588113298475585E-2</v>
      </c>
      <c r="AL172" s="833" t="s">
        <v>452</v>
      </c>
      <c r="AM172" s="837"/>
      <c r="AN172" s="833">
        <v>2.7500509268690215E-2</v>
      </c>
      <c r="AO172" s="833">
        <v>8.7604029785370131E-5</v>
      </c>
      <c r="AP172" s="834"/>
      <c r="AQ172" s="834"/>
      <c r="AR172" s="839">
        <v>3.6762020693852713</v>
      </c>
      <c r="AS172" s="833">
        <v>0.27693244065733413</v>
      </c>
      <c r="AT172" s="833">
        <v>3.3992696287279371</v>
      </c>
      <c r="AU172" s="833" t="s">
        <v>452</v>
      </c>
      <c r="AV172" s="832"/>
      <c r="AW172" s="839" t="s">
        <v>452</v>
      </c>
      <c r="AX172" s="833" t="s">
        <v>452</v>
      </c>
      <c r="AY172" s="837"/>
      <c r="AZ172" s="833">
        <v>0</v>
      </c>
      <c r="BA172" s="833" t="s">
        <v>452</v>
      </c>
    </row>
    <row r="173" spans="1:53" s="389" customFormat="1">
      <c r="A173" s="887" t="s">
        <v>1108</v>
      </c>
      <c r="B173" s="887" t="s">
        <v>1108</v>
      </c>
      <c r="C173" s="896">
        <v>0.2</v>
      </c>
      <c r="D173" s="881">
        <v>0</v>
      </c>
      <c r="E173" s="881">
        <v>0.2</v>
      </c>
      <c r="F173" s="881" t="s">
        <v>452</v>
      </c>
      <c r="G173" s="883"/>
      <c r="H173" s="882" t="s">
        <v>452</v>
      </c>
      <c r="I173" s="881" t="s">
        <v>452</v>
      </c>
      <c r="J173" s="884"/>
      <c r="K173" s="881" t="s">
        <v>452</v>
      </c>
      <c r="L173" s="881" t="s">
        <v>452</v>
      </c>
      <c r="M173" s="885"/>
      <c r="N173" s="885"/>
      <c r="O173" s="882">
        <v>6.1</v>
      </c>
      <c r="P173" s="881">
        <v>0.6</v>
      </c>
      <c r="Q173" s="881">
        <v>5.5</v>
      </c>
      <c r="R173" s="881" t="s">
        <v>452</v>
      </c>
      <c r="S173" s="883"/>
      <c r="T173" s="882" t="s">
        <v>452</v>
      </c>
      <c r="U173" s="881" t="s">
        <v>452</v>
      </c>
      <c r="V173" s="884"/>
      <c r="W173" s="881" t="s">
        <v>452</v>
      </c>
      <c r="X173" s="881" t="s">
        <v>452</v>
      </c>
      <c r="Z173" s="898"/>
      <c r="AA173" s="389" t="s">
        <v>1295</v>
      </c>
      <c r="AB173" s="870" t="s">
        <v>1288</v>
      </c>
      <c r="AC173" s="887"/>
      <c r="AF173" s="839">
        <v>0.2</v>
      </c>
      <c r="AG173" s="833">
        <v>0</v>
      </c>
      <c r="AH173" s="833">
        <v>0.2</v>
      </c>
      <c r="AI173" s="833" t="s">
        <v>452</v>
      </c>
      <c r="AJ173" s="832"/>
      <c r="AK173" s="839" t="s">
        <v>452</v>
      </c>
      <c r="AL173" s="833" t="s">
        <v>452</v>
      </c>
      <c r="AM173" s="837"/>
      <c r="AN173" s="833" t="s">
        <v>452</v>
      </c>
      <c r="AO173" s="833" t="s">
        <v>452</v>
      </c>
      <c r="AP173" s="834"/>
      <c r="AQ173" s="834"/>
      <c r="AR173" s="839">
        <v>6.1</v>
      </c>
      <c r="AS173" s="833">
        <v>0.6</v>
      </c>
      <c r="AT173" s="833">
        <v>5.5</v>
      </c>
      <c r="AU173" s="833" t="s">
        <v>452</v>
      </c>
      <c r="AV173" s="832"/>
      <c r="AW173" s="839" t="s">
        <v>452</v>
      </c>
      <c r="AX173" s="833" t="s">
        <v>452</v>
      </c>
      <c r="AY173" s="837"/>
      <c r="AZ173" s="833" t="s">
        <v>452</v>
      </c>
      <c r="BA173" s="833" t="s">
        <v>452</v>
      </c>
    </row>
    <row r="174" spans="1:53">
      <c r="A174" s="764" t="s">
        <v>91</v>
      </c>
      <c r="B174" s="764" t="s">
        <v>91</v>
      </c>
      <c r="C174" s="896">
        <v>0.1235944371282357</v>
      </c>
      <c r="D174" s="881">
        <v>5.0992046430132762E-2</v>
      </c>
      <c r="E174" s="881">
        <v>7.2602390698102939E-2</v>
      </c>
      <c r="F174" s="881" t="s">
        <v>452</v>
      </c>
      <c r="G174" s="883"/>
      <c r="H174" s="882" t="s">
        <v>452</v>
      </c>
      <c r="I174" s="881" t="s">
        <v>452</v>
      </c>
      <c r="J174" s="884"/>
      <c r="K174" s="881" t="s">
        <v>452</v>
      </c>
      <c r="L174" s="881" t="s">
        <v>452</v>
      </c>
      <c r="M174" s="885"/>
      <c r="N174" s="885"/>
      <c r="O174" s="882">
        <v>1.0417274017390141</v>
      </c>
      <c r="P174" s="881">
        <v>0.37395342626528716</v>
      </c>
      <c r="Q174" s="881">
        <v>0.66777397547372697</v>
      </c>
      <c r="R174" s="881" t="s">
        <v>452</v>
      </c>
      <c r="S174" s="883"/>
      <c r="T174" s="882" t="s">
        <v>452</v>
      </c>
      <c r="U174" s="881" t="s">
        <v>452</v>
      </c>
      <c r="V174" s="884"/>
      <c r="W174" s="881" t="s">
        <v>452</v>
      </c>
      <c r="X174" s="881" t="s">
        <v>452</v>
      </c>
      <c r="Z174" s="898"/>
      <c r="AA174" s="479" t="s">
        <v>1267</v>
      </c>
      <c r="AC174" s="717"/>
      <c r="AF174" s="839">
        <v>0.1235944371282357</v>
      </c>
      <c r="AG174" s="833">
        <v>5.0992046430132762E-2</v>
      </c>
      <c r="AH174" s="833">
        <v>7.2602390698102939E-2</v>
      </c>
      <c r="AI174" s="833" t="s">
        <v>452</v>
      </c>
      <c r="AJ174" s="832"/>
      <c r="AK174" s="839" t="s">
        <v>452</v>
      </c>
      <c r="AL174" s="833" t="s">
        <v>452</v>
      </c>
      <c r="AM174" s="837"/>
      <c r="AN174" s="833" t="s">
        <v>452</v>
      </c>
      <c r="AO174" s="833" t="s">
        <v>452</v>
      </c>
      <c r="AP174" s="834"/>
      <c r="AQ174" s="834"/>
      <c r="AR174" s="839">
        <v>1.0417274017390141</v>
      </c>
      <c r="AS174" s="833">
        <v>0.37395342626528716</v>
      </c>
      <c r="AT174" s="833">
        <v>0.66777397547372697</v>
      </c>
      <c r="AU174" s="833" t="s">
        <v>452</v>
      </c>
      <c r="AV174" s="832"/>
      <c r="AW174" s="839" t="s">
        <v>452</v>
      </c>
      <c r="AX174" s="833" t="s">
        <v>452</v>
      </c>
      <c r="AY174" s="837"/>
      <c r="AZ174" s="833" t="s">
        <v>452</v>
      </c>
      <c r="BA174" s="833" t="s">
        <v>452</v>
      </c>
    </row>
    <row r="175" spans="1:53">
      <c r="A175" s="764" t="s">
        <v>1109</v>
      </c>
      <c r="B175" s="764" t="s">
        <v>1109</v>
      </c>
      <c r="C175" s="896">
        <v>6.4287878709698737E-2</v>
      </c>
      <c r="D175" s="881">
        <v>4.7311817033511498E-2</v>
      </c>
      <c r="E175" s="881">
        <v>1.6976061676187239E-2</v>
      </c>
      <c r="F175" s="881" t="s">
        <v>452</v>
      </c>
      <c r="G175" s="883"/>
      <c r="H175" s="882" t="s">
        <v>452</v>
      </c>
      <c r="I175" s="881" t="s">
        <v>452</v>
      </c>
      <c r="J175" s="884"/>
      <c r="K175" s="881" t="s">
        <v>452</v>
      </c>
      <c r="L175" s="881" t="s">
        <v>452</v>
      </c>
      <c r="M175" s="885"/>
      <c r="N175" s="885"/>
      <c r="O175" s="882">
        <v>0.54018655176844665</v>
      </c>
      <c r="P175" s="881">
        <v>0.39980947049649568</v>
      </c>
      <c r="Q175" s="881">
        <v>0.14037708127195098</v>
      </c>
      <c r="R175" s="881" t="s">
        <v>452</v>
      </c>
      <c r="S175" s="883"/>
      <c r="T175" s="882" t="s">
        <v>452</v>
      </c>
      <c r="U175" s="881" t="s">
        <v>452</v>
      </c>
      <c r="V175" s="884"/>
      <c r="W175" s="881" t="s">
        <v>452</v>
      </c>
      <c r="X175" s="881" t="s">
        <v>452</v>
      </c>
      <c r="Z175" s="898"/>
      <c r="AA175" s="479" t="s">
        <v>1267</v>
      </c>
      <c r="AC175" s="717"/>
      <c r="AF175" s="839">
        <v>6.4287878709698737E-2</v>
      </c>
      <c r="AG175" s="833">
        <v>4.7311817033511498E-2</v>
      </c>
      <c r="AH175" s="833">
        <v>1.6976061676187239E-2</v>
      </c>
      <c r="AI175" s="833" t="s">
        <v>452</v>
      </c>
      <c r="AJ175" s="832"/>
      <c r="AK175" s="839" t="s">
        <v>452</v>
      </c>
      <c r="AL175" s="833" t="s">
        <v>452</v>
      </c>
      <c r="AM175" s="837"/>
      <c r="AN175" s="833" t="s">
        <v>452</v>
      </c>
      <c r="AO175" s="833" t="s">
        <v>452</v>
      </c>
      <c r="AP175" s="834"/>
      <c r="AQ175" s="834"/>
      <c r="AR175" s="839">
        <v>0.54018655176844665</v>
      </c>
      <c r="AS175" s="833">
        <v>0.39980947049649568</v>
      </c>
      <c r="AT175" s="833">
        <v>0.14037708127195098</v>
      </c>
      <c r="AU175" s="833" t="s">
        <v>452</v>
      </c>
      <c r="AV175" s="832"/>
      <c r="AW175" s="839" t="s">
        <v>452</v>
      </c>
      <c r="AX175" s="833" t="s">
        <v>452</v>
      </c>
      <c r="AY175" s="837"/>
      <c r="AZ175" s="833" t="s">
        <v>452</v>
      </c>
      <c r="BA175" s="833" t="s">
        <v>452</v>
      </c>
    </row>
    <row r="176" spans="1:53">
      <c r="A176" s="764" t="s">
        <v>1110</v>
      </c>
      <c r="B176" s="764" t="s">
        <v>1110</v>
      </c>
      <c r="C176" s="896">
        <v>0.56371884503226599</v>
      </c>
      <c r="D176" s="881">
        <v>0.12527085445161465</v>
      </c>
      <c r="E176" s="881">
        <v>0.43844799058065131</v>
      </c>
      <c r="F176" s="881">
        <v>0</v>
      </c>
      <c r="G176" s="883"/>
      <c r="H176" s="882">
        <v>3.4797459569892962E-2</v>
      </c>
      <c r="I176" s="881" t="s">
        <v>452</v>
      </c>
      <c r="J176" s="884"/>
      <c r="K176" s="881">
        <v>3.4797459569892962E-2</v>
      </c>
      <c r="L176" s="881" t="s">
        <v>452</v>
      </c>
      <c r="M176" s="885"/>
      <c r="N176" s="885"/>
      <c r="O176" s="882">
        <v>3.2228193780649277</v>
      </c>
      <c r="P176" s="881">
        <v>0.71618208401442829</v>
      </c>
      <c r="Q176" s="881">
        <v>2.5066372940504991</v>
      </c>
      <c r="R176" s="881">
        <v>0</v>
      </c>
      <c r="S176" s="883"/>
      <c r="T176" s="882">
        <v>0.19893946778178564</v>
      </c>
      <c r="U176" s="881" t="s">
        <v>452</v>
      </c>
      <c r="V176" s="884"/>
      <c r="W176" s="881">
        <v>0.19893946778178564</v>
      </c>
      <c r="X176" s="881" t="s">
        <v>452</v>
      </c>
      <c r="Z176" s="898"/>
      <c r="AA176" s="479" t="s">
        <v>1267</v>
      </c>
      <c r="AC176" s="717"/>
      <c r="AF176" s="839">
        <v>0.56371884503226599</v>
      </c>
      <c r="AG176" s="833">
        <v>0.12527085445161465</v>
      </c>
      <c r="AH176" s="833">
        <v>0.43844799058065131</v>
      </c>
      <c r="AI176" s="833">
        <v>0</v>
      </c>
      <c r="AJ176" s="832"/>
      <c r="AK176" s="839">
        <v>3.4797459569892962E-2</v>
      </c>
      <c r="AL176" s="833" t="s">
        <v>452</v>
      </c>
      <c r="AM176" s="837"/>
      <c r="AN176" s="833">
        <v>3.4797459569892962E-2</v>
      </c>
      <c r="AO176" s="833" t="s">
        <v>452</v>
      </c>
      <c r="AP176" s="834"/>
      <c r="AQ176" s="834"/>
      <c r="AR176" s="839">
        <v>3.2228193780649277</v>
      </c>
      <c r="AS176" s="833">
        <v>0.71618208401442829</v>
      </c>
      <c r="AT176" s="833">
        <v>2.5066372940504991</v>
      </c>
      <c r="AU176" s="833">
        <v>0</v>
      </c>
      <c r="AV176" s="832"/>
      <c r="AW176" s="839">
        <v>0.19893946778178564</v>
      </c>
      <c r="AX176" s="833" t="s">
        <v>452</v>
      </c>
      <c r="AY176" s="837"/>
      <c r="AZ176" s="833">
        <v>0.19893946778178564</v>
      </c>
      <c r="BA176" s="833" t="s">
        <v>452</v>
      </c>
    </row>
    <row r="177" spans="1:53">
      <c r="A177" s="764" t="s">
        <v>1111</v>
      </c>
      <c r="B177" s="764" t="s">
        <v>1111</v>
      </c>
      <c r="C177" s="896">
        <v>0.40497667185069974</v>
      </c>
      <c r="D177" s="881">
        <v>6.0608753610308819E-2</v>
      </c>
      <c r="E177" s="881">
        <v>0.34436791824039098</v>
      </c>
      <c r="F177" s="881" t="s">
        <v>452</v>
      </c>
      <c r="G177" s="883"/>
      <c r="H177" s="882" t="s">
        <v>452</v>
      </c>
      <c r="I177" s="881" t="s">
        <v>452</v>
      </c>
      <c r="J177" s="884"/>
      <c r="K177" s="881" t="s">
        <v>452</v>
      </c>
      <c r="L177" s="881" t="s">
        <v>452</v>
      </c>
      <c r="M177" s="885"/>
      <c r="N177" s="885"/>
      <c r="O177" s="882">
        <v>4.9933930955300641</v>
      </c>
      <c r="P177" s="881">
        <v>0.74731053130381919</v>
      </c>
      <c r="Q177" s="881">
        <v>4.2460825642262447</v>
      </c>
      <c r="R177" s="881" t="s">
        <v>452</v>
      </c>
      <c r="S177" s="883"/>
      <c r="T177" s="882" t="s">
        <v>452</v>
      </c>
      <c r="U177" s="881" t="s">
        <v>452</v>
      </c>
      <c r="V177" s="884"/>
      <c r="W177" s="881" t="s">
        <v>452</v>
      </c>
      <c r="X177" s="881" t="s">
        <v>452</v>
      </c>
      <c r="Z177" s="898"/>
      <c r="AA177" s="479" t="s">
        <v>1267</v>
      </c>
      <c r="AC177" s="717"/>
      <c r="AF177" s="839">
        <v>0.40497667185069974</v>
      </c>
      <c r="AG177" s="833">
        <v>6.0608753610308819E-2</v>
      </c>
      <c r="AH177" s="833">
        <v>0.34436791824039098</v>
      </c>
      <c r="AI177" s="833" t="s">
        <v>452</v>
      </c>
      <c r="AJ177" s="832"/>
      <c r="AK177" s="839" t="s">
        <v>452</v>
      </c>
      <c r="AL177" s="833" t="s">
        <v>452</v>
      </c>
      <c r="AM177" s="837"/>
      <c r="AN177" s="833" t="s">
        <v>452</v>
      </c>
      <c r="AO177" s="833" t="s">
        <v>452</v>
      </c>
      <c r="AP177" s="834"/>
      <c r="AQ177" s="834"/>
      <c r="AR177" s="839">
        <v>4.9933930955300641</v>
      </c>
      <c r="AS177" s="833">
        <v>0.74731053130381919</v>
      </c>
      <c r="AT177" s="833">
        <v>4.2460825642262447</v>
      </c>
      <c r="AU177" s="833" t="s">
        <v>452</v>
      </c>
      <c r="AV177" s="832"/>
      <c r="AW177" s="839" t="s">
        <v>452</v>
      </c>
      <c r="AX177" s="833" t="s">
        <v>452</v>
      </c>
      <c r="AY177" s="837"/>
      <c r="AZ177" s="833" t="s">
        <v>452</v>
      </c>
      <c r="BA177" s="833" t="s">
        <v>452</v>
      </c>
    </row>
    <row r="178" spans="1:53">
      <c r="A178" s="764" t="s">
        <v>1112</v>
      </c>
      <c r="B178" s="764" t="s">
        <v>1112</v>
      </c>
      <c r="C178" s="896">
        <v>0.2</v>
      </c>
      <c r="D178" s="881">
        <v>0.23668661825815965</v>
      </c>
      <c r="E178" s="881">
        <v>-3.6686618258159637E-2</v>
      </c>
      <c r="F178" s="881" t="s">
        <v>452</v>
      </c>
      <c r="G178" s="883"/>
      <c r="H178" s="882" t="s">
        <v>452</v>
      </c>
      <c r="I178" s="881">
        <v>0</v>
      </c>
      <c r="J178" s="884"/>
      <c r="K178" s="881">
        <v>0</v>
      </c>
      <c r="L178" s="881" t="s">
        <v>452</v>
      </c>
      <c r="M178" s="885"/>
      <c r="N178" s="885"/>
      <c r="O178" s="882">
        <v>1.4</v>
      </c>
      <c r="P178" s="881">
        <v>0.4</v>
      </c>
      <c r="Q178" s="881">
        <v>0.99999999999999989</v>
      </c>
      <c r="R178" s="881" t="s">
        <v>452</v>
      </c>
      <c r="S178" s="883"/>
      <c r="T178" s="882" t="s">
        <v>452</v>
      </c>
      <c r="U178" s="881">
        <v>0</v>
      </c>
      <c r="V178" s="884"/>
      <c r="W178" s="881">
        <v>0</v>
      </c>
      <c r="X178" s="881" t="s">
        <v>452</v>
      </c>
      <c r="Z178" s="898"/>
      <c r="AA178" s="479" t="s">
        <v>1267</v>
      </c>
      <c r="AC178" s="717"/>
      <c r="AF178" s="839">
        <v>0.2</v>
      </c>
      <c r="AG178" s="833">
        <v>0.23668661825815965</v>
      </c>
      <c r="AH178" s="833">
        <v>-3.6686618258159637E-2</v>
      </c>
      <c r="AI178" s="833" t="s">
        <v>452</v>
      </c>
      <c r="AJ178" s="832"/>
      <c r="AK178" s="839" t="s">
        <v>452</v>
      </c>
      <c r="AL178" s="833">
        <v>0</v>
      </c>
      <c r="AM178" s="837"/>
      <c r="AN178" s="833">
        <v>0</v>
      </c>
      <c r="AO178" s="833" t="s">
        <v>452</v>
      </c>
      <c r="AP178" s="834"/>
      <c r="AQ178" s="834"/>
      <c r="AR178" s="839">
        <v>1.4</v>
      </c>
      <c r="AS178" s="833">
        <v>0.4</v>
      </c>
      <c r="AT178" s="833">
        <v>0.99999999999999989</v>
      </c>
      <c r="AU178" s="833" t="s">
        <v>452</v>
      </c>
      <c r="AV178" s="832"/>
      <c r="AW178" s="839" t="s">
        <v>452</v>
      </c>
      <c r="AX178" s="833">
        <v>0</v>
      </c>
      <c r="AY178" s="837"/>
      <c r="AZ178" s="833">
        <v>0</v>
      </c>
      <c r="BA178" s="833" t="s">
        <v>452</v>
      </c>
    </row>
    <row r="179" spans="1:53">
      <c r="A179" s="764" t="s">
        <v>1113</v>
      </c>
      <c r="B179" s="764" t="s">
        <v>1113</v>
      </c>
      <c r="C179" s="896">
        <v>0.65900000000000003</v>
      </c>
      <c r="D179" s="881">
        <v>0.14599999999999999</v>
      </c>
      <c r="E179" s="881">
        <v>0.51300000000000001</v>
      </c>
      <c r="F179" s="881" t="s">
        <v>452</v>
      </c>
      <c r="G179" s="883"/>
      <c r="H179" s="882">
        <v>2.4E-2</v>
      </c>
      <c r="I179" s="881">
        <v>2.4E-2</v>
      </c>
      <c r="J179" s="884"/>
      <c r="K179" s="881" t="s">
        <v>452</v>
      </c>
      <c r="L179" s="881" t="s">
        <v>452</v>
      </c>
      <c r="M179" s="885"/>
      <c r="N179" s="885"/>
      <c r="O179" s="882">
        <v>4.6985081203835222</v>
      </c>
      <c r="P179" s="881">
        <v>1</v>
      </c>
      <c r="Q179" s="881">
        <v>3.6985081203835222</v>
      </c>
      <c r="R179" s="881" t="s">
        <v>452</v>
      </c>
      <c r="S179" s="883"/>
      <c r="T179" s="882">
        <v>0.17045454545454547</v>
      </c>
      <c r="U179" s="881">
        <v>0.17045454545454547</v>
      </c>
      <c r="V179" s="884"/>
      <c r="W179" s="881" t="s">
        <v>452</v>
      </c>
      <c r="X179" s="881" t="s">
        <v>452</v>
      </c>
      <c r="Z179" s="898"/>
      <c r="AA179" s="479" t="s">
        <v>1267</v>
      </c>
      <c r="AC179" s="717"/>
      <c r="AF179" s="839">
        <v>0.65900000000000003</v>
      </c>
      <c r="AG179" s="833">
        <v>0.14599999999999999</v>
      </c>
      <c r="AH179" s="833">
        <v>0.51300000000000001</v>
      </c>
      <c r="AI179" s="833" t="s">
        <v>452</v>
      </c>
      <c r="AJ179" s="832"/>
      <c r="AK179" s="839">
        <v>2.4E-2</v>
      </c>
      <c r="AL179" s="833">
        <v>2.4E-2</v>
      </c>
      <c r="AM179" s="837"/>
      <c r="AN179" s="833" t="s">
        <v>452</v>
      </c>
      <c r="AO179" s="833" t="s">
        <v>452</v>
      </c>
      <c r="AP179" s="834"/>
      <c r="AQ179" s="834"/>
      <c r="AR179" s="839">
        <v>4.6985081203835222</v>
      </c>
      <c r="AS179" s="833">
        <v>1</v>
      </c>
      <c r="AT179" s="833">
        <v>3.6985081203835222</v>
      </c>
      <c r="AU179" s="833" t="s">
        <v>452</v>
      </c>
      <c r="AV179" s="832"/>
      <c r="AW179" s="839">
        <v>0.17045454545454547</v>
      </c>
      <c r="AX179" s="833">
        <v>0.17045454545454547</v>
      </c>
      <c r="AY179" s="837"/>
      <c r="AZ179" s="833" t="s">
        <v>452</v>
      </c>
      <c r="BA179" s="833" t="s">
        <v>452</v>
      </c>
    </row>
    <row r="180" spans="1:53">
      <c r="A180" s="764" t="s">
        <v>912</v>
      </c>
      <c r="B180" s="764" t="s">
        <v>912</v>
      </c>
      <c r="C180" s="896" t="str">
        <f>IF(ISNUMBER(INDEX('Database.Jan 12 to SEC'!$G$6:$G$191, MATCH($A180&amp;"USD bn", 'Database.Jan 12 to SEC'!$AD$6:$AD$191, 0))), INDEX('Database.Jan 12 to SEC'!$G$6:$G$191, MATCH($A180&amp;"USD bn", 'Database.Jan 12 to SEC'!$AD$6:$AD$191, 0)), "")</f>
        <v/>
      </c>
      <c r="D180" s="881" t="str">
        <f>IF(ISNUMBER(INDEX('Database.Jan 12 to SEC'!$H$6:$H$191, MATCH($A180&amp;"USD bn", 'Database.Jan 12 to SEC'!$AD$6:$AD$191, 0))), INDEX('Database.Jan 12 to SEC'!$H$6:$H$191, MATCH($A180&amp;"USD bn", 'Database.Jan 12 to SEC'!$AD$6:$AD$191, 0)), "")</f>
        <v/>
      </c>
      <c r="E180" s="881" t="str">
        <f>IF(ISNUMBER(INDEX('Database.Jan 12 to SEC'!$J$6:$J$191, MATCH($A180&amp;"USD bn", 'Database.Jan 12 to SEC'!$AD$6:$AD$191, 0))), INDEX('Database.Jan 12 to SEC'!$J$6:$J$191, MATCH($A180&amp;"USD bn", 'Database.Jan 12 to SEC'!$AD$6:$AD$191, 0)), "")</f>
        <v/>
      </c>
      <c r="F180" s="881" t="str">
        <f>IF(ISNUMBER(INDEX('Database.Jan 12 to SEC'!$L$6:$L$191, MATCH($A180&amp;"USD bn", 'Database.Jan 12 to SEC'!$AD$6:$AD$191, 0))), INDEX('Database.Jan 12 to SEC'!$L$6:$L$191, MATCH($A180&amp;"USD bn", 'Database.Jan 12 to SEC'!$AD$6:$AD$191, 0)), "")</f>
        <v/>
      </c>
      <c r="G180" s="883"/>
      <c r="H180" s="882" t="str">
        <f>IF(ISNUMBER(INDEX('Database.Jan 12 to SEC'!$P$6:$P$191, MATCH($A180&amp;"USD bn", 'Database.Jan 12 to SEC'!$AD$6:$AD$191, 0))), INDEX('Database.Jan 12 to SEC'!$P$6:$P$191, MATCH($A180&amp;"USD bn", 'Database.Jan 12 to SEC'!$AD$6:$AD$191, 0)), "")</f>
        <v/>
      </c>
      <c r="I180" s="881" t="str">
        <f>IF(ISNUMBER(INDEX('Database.Jan 12 to SEC'!$Q$6:$Q$191, MATCH($A180&amp;"USD bn", 'Database.Jan 12 to SEC'!$AD$6:$AD$191, 0))), INDEX('Database.Jan 12 to SEC'!$Q$6:$Q$191, MATCH($A180&amp;"USD bn", 'Database.Jan 12 to SEC'!$AD$6:$AD$191, 0)), "")</f>
        <v/>
      </c>
      <c r="J180" s="884"/>
      <c r="K180" s="881" t="str">
        <f>IF(ISNUMBER(INDEX('Database.Jan 12 to SEC'!$U$6:$U$191, MATCH($A180&amp;"USD bn", 'Database.Jan 12 to SEC'!$AD$6:$AD$191, 0))), INDEX('Database.Jan 12 to SEC'!$U$6:$U$191, MATCH($A180&amp;"USD bn", 'Database.Jan 12 to SEC'!$AD$6:$AD$191, 0)), "")</f>
        <v/>
      </c>
      <c r="L180" s="881" t="str">
        <f>IF(ISNUMBER(INDEX('Database.Jan 12 to SEC'!$W$6:$W$191, MATCH($A180&amp;"USD bn", 'Database.Jan 12 to SEC'!$AD$6:$AD$191, 0))), INDEX('Database.Jan 12 to SEC'!$W$6:$W$191, MATCH($A180&amp;"USD bn", 'Database.Jan 12 to SEC'!$AD$6:$AD$191, 0)), "")</f>
        <v/>
      </c>
      <c r="M180" s="885"/>
      <c r="N180" s="885"/>
      <c r="O180" s="882" t="str">
        <f>IF(ISNUMBER(INDEX('Database.Jan 12 to SEC'!$G$6:$G$191, MATCH($A180&amp;"% GDP", 'Database.Jan 12 to SEC'!$AD$6:$AD$191, 0))), INDEX('Database.Jan 12 to SEC'!$G$6:$G$191, MATCH($A180&amp;"% GDP", 'Database.Jan 12 to SEC'!$AD$6:$AD$191, 0)), "")</f>
        <v/>
      </c>
      <c r="P180" s="881" t="str">
        <f>IF(ISNUMBER(INDEX('Database.Jan 12 to SEC'!$H$6:$H$191, MATCH($A180&amp;"% GDP", 'Database.Jan 12 to SEC'!$AD$6:$AD$191, 0))), INDEX('Database.Jan 12 to SEC'!$H$6:$H$191, MATCH($A180&amp;"% GDP", 'Database.Jan 12 to SEC'!$AD$6:$AD$191, 0)), "")</f>
        <v/>
      </c>
      <c r="Q180" s="881" t="str">
        <f>IF(ISNUMBER(INDEX('Database.Jan 12 to SEC'!$J$6:$J$191, MATCH($A180&amp;"% GDP", 'Database.Jan 12 to SEC'!$AD$6:$AD$191, 0))), INDEX('Database.Jan 12 to SEC'!$J$6:$J$191, MATCH($A180&amp;"% GDP", 'Database.Jan 12 to SEC'!$AD$6:$AD$191, 0)), "")</f>
        <v/>
      </c>
      <c r="R180" s="881" t="str">
        <f>IF(ISNUMBER(INDEX('Database.Jan 12 to SEC'!$L$6:$L$191, MATCH($A180&amp;"% GDP", 'Database.Jan 12 to SEC'!$AD$6:$AD$191, 0))), INDEX('Database.Jan 12 to SEC'!$L$6:$L$191, MATCH($A180&amp;"% GDP", 'Database.Jan 12 to SEC'!$AD$6:$AD$191, 0)), "")</f>
        <v/>
      </c>
      <c r="S180" s="883"/>
      <c r="T180" s="882" t="str">
        <f>IF(ISNUMBER(INDEX('Database.Jan 12 to SEC'!$P$6:$P$191, MATCH($A180&amp;"% GDP", 'Database.Jan 12 to SEC'!$AD$6:$AD$191, 0))), INDEX('Database.Jan 12 to SEC'!$P$6:$P$191, MATCH($A180&amp;"% GDP", 'Database.Jan 12 to SEC'!$AD$6:$AD$191, 0)), "")</f>
        <v/>
      </c>
      <c r="U180" s="881" t="str">
        <f>IF(ISNUMBER(INDEX('Database.Jan 12 to SEC'!$Q$6:$Q$191, MATCH($A180&amp;"% GDP", 'Database.Jan 12 to SEC'!$AD$6:$AD$191, 0))), INDEX('Database.Jan 12 to SEC'!$Q$6:$Q$191, MATCH($A180&amp;"% GDP", 'Database.Jan 12 to SEC'!$AD$6:$AD$191, 0)), "")</f>
        <v/>
      </c>
      <c r="V180" s="884"/>
      <c r="W180" s="881" t="str">
        <f>IF(ISNUMBER(INDEX('Database.Jan 12 to SEC'!$U$6:$U$191, MATCH($A180&amp;"% GDP", 'Database.Jan 12 to SEC'!$AD$6:$AD$191, 0))), INDEX('Database.Jan 12 to SEC'!$U$6:$U$191, MATCH($A180&amp;"% GDP", 'Database.Jan 12 to SEC'!$AD$6:$AD$191, 0)), "")</f>
        <v/>
      </c>
      <c r="X180" s="881" t="str">
        <f>IF(ISNUMBER(INDEX('Database.Jan 12 to SEC'!$W$6:$W$191, MATCH($A180&amp;"% GDP", 'Database.Jan 12 to SEC'!$AD$6:$AD$191, 0))), INDEX('Database.Jan 12 to SEC'!$W$6:$W$191, MATCH($A180&amp;"% GDP", 'Database.Jan 12 to SEC'!$AD$6:$AD$191, 0)), "")</f>
        <v/>
      </c>
      <c r="Z180" s="898"/>
      <c r="AA180" s="479" t="s">
        <v>1267</v>
      </c>
      <c r="AC180" s="717"/>
      <c r="AF180" s="839">
        <v>0.58733903180831615</v>
      </c>
      <c r="AG180" s="833">
        <v>0.13059822221699338</v>
      </c>
      <c r="AH180" s="833">
        <v>0.45674080959132279</v>
      </c>
      <c r="AI180" s="833" t="s">
        <v>452</v>
      </c>
      <c r="AJ180" s="832"/>
      <c r="AK180" s="839">
        <v>0.21178090089242169</v>
      </c>
      <c r="AL180" s="833">
        <v>0.21178090089242169</v>
      </c>
      <c r="AM180" s="837"/>
      <c r="AN180" s="833" t="s">
        <v>452</v>
      </c>
      <c r="AO180" s="833" t="s">
        <v>452</v>
      </c>
      <c r="AP180" s="834"/>
      <c r="AQ180" s="834"/>
      <c r="AR180" s="839">
        <v>0.72281351560912455</v>
      </c>
      <c r="AS180" s="833">
        <v>0.16072175527366353</v>
      </c>
      <c r="AT180" s="833">
        <v>0.56209176033546104</v>
      </c>
      <c r="AU180" s="833" t="s">
        <v>452</v>
      </c>
      <c r="AV180" s="832"/>
      <c r="AW180" s="839">
        <v>0.26062987341675165</v>
      </c>
      <c r="AX180" s="833">
        <v>0.26062987341675165</v>
      </c>
      <c r="AY180" s="837"/>
      <c r="AZ180" s="833" t="s">
        <v>452</v>
      </c>
      <c r="BA180" s="833" t="s">
        <v>452</v>
      </c>
    </row>
    <row r="181" spans="1:53">
      <c r="A181" s="764" t="s">
        <v>914</v>
      </c>
      <c r="B181" s="764" t="s">
        <v>914</v>
      </c>
      <c r="C181" s="896" t="str">
        <f>IF(ISNUMBER(INDEX('Database.Jan 12 to SEC'!$G$6:$G$191, MATCH($A181&amp;"USD bn", 'Database.Jan 12 to SEC'!$AD$6:$AD$191, 0))), INDEX('Database.Jan 12 to SEC'!$G$6:$G$191, MATCH($A181&amp;"USD bn", 'Database.Jan 12 to SEC'!$AD$6:$AD$191, 0)), "")</f>
        <v/>
      </c>
      <c r="D181" s="881" t="str">
        <f>IF(ISNUMBER(INDEX('Database.Jan 12 to SEC'!$H$6:$H$191, MATCH($A181&amp;"USD bn", 'Database.Jan 12 to SEC'!$AD$6:$AD$191, 0))), INDEX('Database.Jan 12 to SEC'!$H$6:$H$191, MATCH($A181&amp;"USD bn", 'Database.Jan 12 to SEC'!$AD$6:$AD$191, 0)), "")</f>
        <v/>
      </c>
      <c r="E181" s="881" t="str">
        <f>IF(ISNUMBER(INDEX('Database.Jan 12 to SEC'!$J$6:$J$191, MATCH($A181&amp;"USD bn", 'Database.Jan 12 to SEC'!$AD$6:$AD$191, 0))), INDEX('Database.Jan 12 to SEC'!$J$6:$J$191, MATCH($A181&amp;"USD bn", 'Database.Jan 12 to SEC'!$AD$6:$AD$191, 0)), "")</f>
        <v/>
      </c>
      <c r="F181" s="881" t="str">
        <f>IF(ISNUMBER(INDEX('Database.Jan 12 to SEC'!$L$6:$L$191, MATCH($A181&amp;"USD bn", 'Database.Jan 12 to SEC'!$AD$6:$AD$191, 0))), INDEX('Database.Jan 12 to SEC'!$L$6:$L$191, MATCH($A181&amp;"USD bn", 'Database.Jan 12 to SEC'!$AD$6:$AD$191, 0)), "")</f>
        <v/>
      </c>
      <c r="G181" s="883"/>
      <c r="H181" s="882" t="str">
        <f>IF(ISNUMBER(INDEX('Database.Jan 12 to SEC'!$P$6:$P$191, MATCH($A181&amp;"USD bn", 'Database.Jan 12 to SEC'!$AD$6:$AD$191, 0))), INDEX('Database.Jan 12 to SEC'!$P$6:$P$191, MATCH($A181&amp;"USD bn", 'Database.Jan 12 to SEC'!$AD$6:$AD$191, 0)), "")</f>
        <v/>
      </c>
      <c r="I181" s="881" t="str">
        <f>IF(ISNUMBER(INDEX('Database.Jan 12 to SEC'!$Q$6:$Q$191, MATCH($A181&amp;"USD bn", 'Database.Jan 12 to SEC'!$AD$6:$AD$191, 0))), INDEX('Database.Jan 12 to SEC'!$Q$6:$Q$191, MATCH($A181&amp;"USD bn", 'Database.Jan 12 to SEC'!$AD$6:$AD$191, 0)), "")</f>
        <v/>
      </c>
      <c r="J181" s="884"/>
      <c r="K181" s="881" t="str">
        <f>IF(ISNUMBER(INDEX('Database.Jan 12 to SEC'!$U$6:$U$191, MATCH($A181&amp;"USD bn", 'Database.Jan 12 to SEC'!$AD$6:$AD$191, 0))), INDEX('Database.Jan 12 to SEC'!$U$6:$U$191, MATCH($A181&amp;"USD bn", 'Database.Jan 12 to SEC'!$AD$6:$AD$191, 0)), "")</f>
        <v/>
      </c>
      <c r="L181" s="881" t="str">
        <f>IF(ISNUMBER(INDEX('Database.Jan 12 to SEC'!$W$6:$W$191, MATCH($A181&amp;"USD bn", 'Database.Jan 12 to SEC'!$AD$6:$AD$191, 0))), INDEX('Database.Jan 12 to SEC'!$W$6:$W$191, MATCH($A181&amp;"USD bn", 'Database.Jan 12 to SEC'!$AD$6:$AD$191, 0)), "")</f>
        <v/>
      </c>
      <c r="M181" s="885"/>
      <c r="N181" s="885"/>
      <c r="O181" s="882" t="str">
        <f>IF(ISNUMBER(INDEX('Database.Jan 12 to SEC'!$G$6:$G$191, MATCH($A181&amp;"% GDP", 'Database.Jan 12 to SEC'!$AD$6:$AD$191, 0))), INDEX('Database.Jan 12 to SEC'!$G$6:$G$191, MATCH($A181&amp;"% GDP", 'Database.Jan 12 to SEC'!$AD$6:$AD$191, 0)), "")</f>
        <v/>
      </c>
      <c r="P181" s="881" t="str">
        <f>IF(ISNUMBER(INDEX('Database.Jan 12 to SEC'!$H$6:$H$191, MATCH($A181&amp;"% GDP", 'Database.Jan 12 to SEC'!$AD$6:$AD$191, 0))), INDEX('Database.Jan 12 to SEC'!$H$6:$H$191, MATCH($A181&amp;"% GDP", 'Database.Jan 12 to SEC'!$AD$6:$AD$191, 0)), "")</f>
        <v/>
      </c>
      <c r="Q181" s="881" t="str">
        <f>IF(ISNUMBER(INDEX('Database.Jan 12 to SEC'!$J$6:$J$191, MATCH($A181&amp;"% GDP", 'Database.Jan 12 to SEC'!$AD$6:$AD$191, 0))), INDEX('Database.Jan 12 to SEC'!$J$6:$J$191, MATCH($A181&amp;"% GDP", 'Database.Jan 12 to SEC'!$AD$6:$AD$191, 0)), "")</f>
        <v/>
      </c>
      <c r="R181" s="881" t="str">
        <f>IF(ISNUMBER(INDEX('Database.Jan 12 to SEC'!$L$6:$L$191, MATCH($A181&amp;"% GDP", 'Database.Jan 12 to SEC'!$AD$6:$AD$191, 0))), INDEX('Database.Jan 12 to SEC'!$L$6:$L$191, MATCH($A181&amp;"% GDP", 'Database.Jan 12 to SEC'!$AD$6:$AD$191, 0)), "")</f>
        <v/>
      </c>
      <c r="S181" s="883"/>
      <c r="T181" s="882" t="str">
        <f>IF(ISNUMBER(INDEX('Database.Jan 12 to SEC'!$P$6:$P$191, MATCH($A181&amp;"% GDP", 'Database.Jan 12 to SEC'!$AD$6:$AD$191, 0))), INDEX('Database.Jan 12 to SEC'!$P$6:$P$191, MATCH($A181&amp;"% GDP", 'Database.Jan 12 to SEC'!$AD$6:$AD$191, 0)), "")</f>
        <v/>
      </c>
      <c r="U181" s="881" t="str">
        <f>IF(ISNUMBER(INDEX('Database.Jan 12 to SEC'!$Q$6:$Q$191, MATCH($A181&amp;"% GDP", 'Database.Jan 12 to SEC'!$AD$6:$AD$191, 0))), INDEX('Database.Jan 12 to SEC'!$Q$6:$Q$191, MATCH($A181&amp;"% GDP", 'Database.Jan 12 to SEC'!$AD$6:$AD$191, 0)), "")</f>
        <v/>
      </c>
      <c r="V181" s="884"/>
      <c r="W181" s="881" t="str">
        <f>IF(ISNUMBER(INDEX('Database.Jan 12 to SEC'!$U$6:$U$191, MATCH($A181&amp;"% GDP", 'Database.Jan 12 to SEC'!$AD$6:$AD$191, 0))), INDEX('Database.Jan 12 to SEC'!$U$6:$U$191, MATCH($A181&amp;"% GDP", 'Database.Jan 12 to SEC'!$AD$6:$AD$191, 0)), "")</f>
        <v/>
      </c>
      <c r="X181" s="881" t="str">
        <f>IF(ISNUMBER(INDEX('Database.Jan 12 to SEC'!$W$6:$W$191, MATCH($A181&amp;"% GDP", 'Database.Jan 12 to SEC'!$AD$6:$AD$191, 0))), INDEX('Database.Jan 12 to SEC'!$W$6:$W$191, MATCH($A181&amp;"% GDP", 'Database.Jan 12 to SEC'!$AD$6:$AD$191, 0)), "")</f>
        <v/>
      </c>
      <c r="Z181" s="898"/>
      <c r="AA181" s="479" t="s">
        <v>1267</v>
      </c>
      <c r="AC181" s="717"/>
      <c r="AF181" s="839">
        <v>0</v>
      </c>
      <c r="AG181" s="833">
        <v>0</v>
      </c>
      <c r="AH181" s="833">
        <v>0</v>
      </c>
      <c r="AI181" s="833" t="s">
        <v>452</v>
      </c>
      <c r="AJ181" s="832"/>
      <c r="AK181" s="839" t="s">
        <v>452</v>
      </c>
      <c r="AL181" s="833" t="s">
        <v>452</v>
      </c>
      <c r="AM181" s="837"/>
      <c r="AN181" s="833" t="s">
        <v>452</v>
      </c>
      <c r="AO181" s="833" t="s">
        <v>452</v>
      </c>
      <c r="AP181" s="834"/>
      <c r="AQ181" s="834"/>
      <c r="AR181" s="839">
        <v>0</v>
      </c>
      <c r="AS181" s="833">
        <v>0</v>
      </c>
      <c r="AT181" s="833">
        <v>0</v>
      </c>
      <c r="AU181" s="833" t="s">
        <v>452</v>
      </c>
      <c r="AV181" s="832"/>
      <c r="AW181" s="839" t="s">
        <v>452</v>
      </c>
      <c r="AX181" s="833" t="s">
        <v>452</v>
      </c>
      <c r="AY181" s="837"/>
      <c r="AZ181" s="833" t="s">
        <v>452</v>
      </c>
      <c r="BA181" s="833" t="s">
        <v>452</v>
      </c>
    </row>
    <row r="182" spans="1:53">
      <c r="A182" s="764" t="s">
        <v>1114</v>
      </c>
      <c r="B182" s="764" t="s">
        <v>1114</v>
      </c>
      <c r="C182" s="896">
        <v>0.2717288589332218</v>
      </c>
      <c r="D182" s="881">
        <v>1.4616122578083225E-4</v>
      </c>
      <c r="E182" s="881">
        <v>0.27158269770744098</v>
      </c>
      <c r="F182" s="881" t="s">
        <v>452</v>
      </c>
      <c r="G182" s="883"/>
      <c r="H182" s="882" t="s">
        <v>452</v>
      </c>
      <c r="I182" s="881" t="s">
        <v>452</v>
      </c>
      <c r="J182" s="884"/>
      <c r="K182" s="881" t="s">
        <v>452</v>
      </c>
      <c r="L182" s="881" t="s">
        <v>452</v>
      </c>
      <c r="M182" s="885"/>
      <c r="N182" s="885"/>
      <c r="O182" s="882">
        <v>2.1531306233246545</v>
      </c>
      <c r="P182" s="881">
        <v>1.158155274367521E-3</v>
      </c>
      <c r="Q182" s="881">
        <v>2.1519724680502872</v>
      </c>
      <c r="R182" s="881" t="s">
        <v>452</v>
      </c>
      <c r="S182" s="883"/>
      <c r="T182" s="882" t="s">
        <v>452</v>
      </c>
      <c r="U182" s="881" t="s">
        <v>452</v>
      </c>
      <c r="V182" s="884"/>
      <c r="W182" s="881" t="s">
        <v>452</v>
      </c>
      <c r="X182" s="881" t="s">
        <v>452</v>
      </c>
      <c r="Z182" s="898"/>
      <c r="AA182" s="479" t="s">
        <v>1267</v>
      </c>
      <c r="AC182" s="717"/>
      <c r="AF182" s="839">
        <v>0.2717288589332218</v>
      </c>
      <c r="AG182" s="833">
        <v>1.4616122578083225E-4</v>
      </c>
      <c r="AH182" s="833">
        <v>0.27158269770744098</v>
      </c>
      <c r="AI182" s="833" t="s">
        <v>452</v>
      </c>
      <c r="AJ182" s="832"/>
      <c r="AK182" s="839" t="s">
        <v>452</v>
      </c>
      <c r="AL182" s="833" t="s">
        <v>452</v>
      </c>
      <c r="AM182" s="837"/>
      <c r="AN182" s="833" t="s">
        <v>452</v>
      </c>
      <c r="AO182" s="833" t="s">
        <v>452</v>
      </c>
      <c r="AP182" s="834"/>
      <c r="AQ182" s="834"/>
      <c r="AR182" s="839">
        <v>2.1531306233246545</v>
      </c>
      <c r="AS182" s="833">
        <v>1.158155274367521E-3</v>
      </c>
      <c r="AT182" s="833">
        <v>2.1519724680502872</v>
      </c>
      <c r="AU182" s="833" t="s">
        <v>452</v>
      </c>
      <c r="AV182" s="832"/>
      <c r="AW182" s="839" t="s">
        <v>452</v>
      </c>
      <c r="AX182" s="833" t="s">
        <v>452</v>
      </c>
      <c r="AY182" s="837"/>
      <c r="AZ182" s="833" t="s">
        <v>452</v>
      </c>
      <c r="BA182" s="833" t="s">
        <v>452</v>
      </c>
    </row>
    <row r="183" spans="1:53">
      <c r="A183" s="764" t="s">
        <v>915</v>
      </c>
      <c r="B183" s="764" t="s">
        <v>915</v>
      </c>
      <c r="C183" s="896" t="str">
        <f>IF(ISNUMBER(INDEX('Database.Jan 12 to SEC'!$G$6:$G$191, MATCH($A183&amp;"USD bn", 'Database.Jan 12 to SEC'!$AD$6:$AD$191, 0))), INDEX('Database.Jan 12 to SEC'!$G$6:$G$191, MATCH($A183&amp;"USD bn", 'Database.Jan 12 to SEC'!$AD$6:$AD$191, 0)), "")</f>
        <v/>
      </c>
      <c r="D183" s="881" t="str">
        <f>IF(ISNUMBER(INDEX('Database.Jan 12 to SEC'!$H$6:$H$191, MATCH($A183&amp;"USD bn", 'Database.Jan 12 to SEC'!$AD$6:$AD$191, 0))), INDEX('Database.Jan 12 to SEC'!$H$6:$H$191, MATCH($A183&amp;"USD bn", 'Database.Jan 12 to SEC'!$AD$6:$AD$191, 0)), "")</f>
        <v/>
      </c>
      <c r="E183" s="881" t="str">
        <f>IF(ISNUMBER(INDEX('Database.Jan 12 to SEC'!$J$6:$J$191, MATCH($A183&amp;"USD bn", 'Database.Jan 12 to SEC'!$AD$6:$AD$191, 0))), INDEX('Database.Jan 12 to SEC'!$J$6:$J$191, MATCH($A183&amp;"USD bn", 'Database.Jan 12 to SEC'!$AD$6:$AD$191, 0)), "")</f>
        <v/>
      </c>
      <c r="F183" s="881" t="str">
        <f>IF(ISNUMBER(INDEX('Database.Jan 12 to SEC'!$L$6:$L$191, MATCH($A183&amp;"USD bn", 'Database.Jan 12 to SEC'!$AD$6:$AD$191, 0))), INDEX('Database.Jan 12 to SEC'!$L$6:$L$191, MATCH($A183&amp;"USD bn", 'Database.Jan 12 to SEC'!$AD$6:$AD$191, 0)), "")</f>
        <v/>
      </c>
      <c r="G183" s="883"/>
      <c r="H183" s="882" t="str">
        <f>IF(ISNUMBER(INDEX('Database.Jan 12 to SEC'!$P$6:$P$191, MATCH($A183&amp;"USD bn", 'Database.Jan 12 to SEC'!$AD$6:$AD$191, 0))), INDEX('Database.Jan 12 to SEC'!$P$6:$P$191, MATCH($A183&amp;"USD bn", 'Database.Jan 12 to SEC'!$AD$6:$AD$191, 0)), "")</f>
        <v/>
      </c>
      <c r="I183" s="881" t="str">
        <f>IF(ISNUMBER(INDEX('Database.Jan 12 to SEC'!$Q$6:$Q$191, MATCH($A183&amp;"USD bn", 'Database.Jan 12 to SEC'!$AD$6:$AD$191, 0))), INDEX('Database.Jan 12 to SEC'!$Q$6:$Q$191, MATCH($A183&amp;"USD bn", 'Database.Jan 12 to SEC'!$AD$6:$AD$191, 0)), "")</f>
        <v/>
      </c>
      <c r="J183" s="884"/>
      <c r="K183" s="881" t="str">
        <f>IF(ISNUMBER(INDEX('Database.Jan 12 to SEC'!$U$6:$U$191, MATCH($A183&amp;"USD bn", 'Database.Jan 12 to SEC'!$AD$6:$AD$191, 0))), INDEX('Database.Jan 12 to SEC'!$U$6:$U$191, MATCH($A183&amp;"USD bn", 'Database.Jan 12 to SEC'!$AD$6:$AD$191, 0)), "")</f>
        <v/>
      </c>
      <c r="L183" s="881" t="str">
        <f>IF(ISNUMBER(INDEX('Database.Jan 12 to SEC'!$W$6:$W$191, MATCH($A183&amp;"USD bn", 'Database.Jan 12 to SEC'!$AD$6:$AD$191, 0))), INDEX('Database.Jan 12 to SEC'!$W$6:$W$191, MATCH($A183&amp;"USD bn", 'Database.Jan 12 to SEC'!$AD$6:$AD$191, 0)), "")</f>
        <v/>
      </c>
      <c r="M183" s="885"/>
      <c r="N183" s="885"/>
      <c r="O183" s="882" t="str">
        <f>IF(ISNUMBER(INDEX('Database.Jan 12 to SEC'!$G$6:$G$191, MATCH($A183&amp;"% GDP", 'Database.Jan 12 to SEC'!$AD$6:$AD$191, 0))), INDEX('Database.Jan 12 to SEC'!$G$6:$G$191, MATCH($A183&amp;"% GDP", 'Database.Jan 12 to SEC'!$AD$6:$AD$191, 0)), "")</f>
        <v/>
      </c>
      <c r="P183" s="881" t="str">
        <f>IF(ISNUMBER(INDEX('Database.Jan 12 to SEC'!$H$6:$H$191, MATCH($A183&amp;"% GDP", 'Database.Jan 12 to SEC'!$AD$6:$AD$191, 0))), INDEX('Database.Jan 12 to SEC'!$H$6:$H$191, MATCH($A183&amp;"% GDP", 'Database.Jan 12 to SEC'!$AD$6:$AD$191, 0)), "")</f>
        <v/>
      </c>
      <c r="Q183" s="881" t="str">
        <f>IF(ISNUMBER(INDEX('Database.Jan 12 to SEC'!$J$6:$J$191, MATCH($A183&amp;"% GDP", 'Database.Jan 12 to SEC'!$AD$6:$AD$191, 0))), INDEX('Database.Jan 12 to SEC'!$J$6:$J$191, MATCH($A183&amp;"% GDP", 'Database.Jan 12 to SEC'!$AD$6:$AD$191, 0)), "")</f>
        <v/>
      </c>
      <c r="R183" s="881" t="str">
        <f>IF(ISNUMBER(INDEX('Database.Jan 12 to SEC'!$L$6:$L$191, MATCH($A183&amp;"% GDP", 'Database.Jan 12 to SEC'!$AD$6:$AD$191, 0))), INDEX('Database.Jan 12 to SEC'!$L$6:$L$191, MATCH($A183&amp;"% GDP", 'Database.Jan 12 to SEC'!$AD$6:$AD$191, 0)), "")</f>
        <v/>
      </c>
      <c r="S183" s="883"/>
      <c r="T183" s="882" t="str">
        <f>IF(ISNUMBER(INDEX('Database.Jan 12 to SEC'!$P$6:$P$191, MATCH($A183&amp;"% GDP", 'Database.Jan 12 to SEC'!$AD$6:$AD$191, 0))), INDEX('Database.Jan 12 to SEC'!$P$6:$P$191, MATCH($A183&amp;"% GDP", 'Database.Jan 12 to SEC'!$AD$6:$AD$191, 0)), "")</f>
        <v/>
      </c>
      <c r="U183" s="881" t="str">
        <f>IF(ISNUMBER(INDEX('Database.Jan 12 to SEC'!$Q$6:$Q$191, MATCH($A183&amp;"% GDP", 'Database.Jan 12 to SEC'!$AD$6:$AD$191, 0))), INDEX('Database.Jan 12 to SEC'!$Q$6:$Q$191, MATCH($A183&amp;"% GDP", 'Database.Jan 12 to SEC'!$AD$6:$AD$191, 0)), "")</f>
        <v/>
      </c>
      <c r="V183" s="884"/>
      <c r="W183" s="881" t="str">
        <f>IF(ISNUMBER(INDEX('Database.Jan 12 to SEC'!$U$6:$U$191, MATCH($A183&amp;"% GDP", 'Database.Jan 12 to SEC'!$AD$6:$AD$191, 0))), INDEX('Database.Jan 12 to SEC'!$U$6:$U$191, MATCH($A183&amp;"% GDP", 'Database.Jan 12 to SEC'!$AD$6:$AD$191, 0)), "")</f>
        <v/>
      </c>
      <c r="X183" s="881" t="str">
        <f>IF(ISNUMBER(INDEX('Database.Jan 12 to SEC'!$W$6:$W$191, MATCH($A183&amp;"% GDP", 'Database.Jan 12 to SEC'!$AD$6:$AD$191, 0))), INDEX('Database.Jan 12 to SEC'!$W$6:$W$191, MATCH($A183&amp;"% GDP", 'Database.Jan 12 to SEC'!$AD$6:$AD$191, 0)), "")</f>
        <v/>
      </c>
      <c r="Z183" s="898"/>
      <c r="AA183" s="479" t="s">
        <v>1267</v>
      </c>
      <c r="AC183" s="764"/>
      <c r="AF183" s="839">
        <v>0.10176470509427343</v>
      </c>
      <c r="AG183" s="833">
        <v>4.4801524297786645E-2</v>
      </c>
      <c r="AH183" s="833">
        <v>5.6963180796486788E-2</v>
      </c>
      <c r="AI183" s="833" t="s">
        <v>452</v>
      </c>
      <c r="AJ183" s="832"/>
      <c r="AK183" s="839">
        <v>0.17398650212732678</v>
      </c>
      <c r="AL183" s="833">
        <v>8.6993251063663388E-2</v>
      </c>
      <c r="AM183" s="837"/>
      <c r="AN183" s="833">
        <v>8.6993251063663388E-2</v>
      </c>
      <c r="AO183" s="833" t="s">
        <v>452</v>
      </c>
      <c r="AP183" s="834"/>
      <c r="AQ183" s="834"/>
      <c r="AR183" s="839">
        <v>0.73950497267868009</v>
      </c>
      <c r="AS183" s="833">
        <v>0.32556425109379405</v>
      </c>
      <c r="AT183" s="833">
        <v>0.4139407215848861</v>
      </c>
      <c r="AU183" s="833" t="s">
        <v>452</v>
      </c>
      <c r="AV183" s="832"/>
      <c r="AW183" s="839">
        <v>1.2643271887137633</v>
      </c>
      <c r="AX183" s="833">
        <v>0.63216359435688163</v>
      </c>
      <c r="AY183" s="837"/>
      <c r="AZ183" s="833">
        <v>0.63216359435688163</v>
      </c>
      <c r="BA183" s="833" t="s">
        <v>452</v>
      </c>
    </row>
    <row r="184" spans="1:53">
      <c r="A184" s="764" t="s">
        <v>29</v>
      </c>
      <c r="B184" s="764" t="s">
        <v>29</v>
      </c>
      <c r="C184" s="896" t="str">
        <f>IF(ISNUMBER(INDEX('Database.Jan 12 to SEC'!$G$6:$G$191, MATCH($A184&amp;"USD bn", 'Database.Jan 12 to SEC'!$AD$6:$AD$191, 0))), INDEX('Database.Jan 12 to SEC'!$G$6:$G$191, MATCH($A184&amp;"USD bn", 'Database.Jan 12 to SEC'!$AD$6:$AD$191, 0)), "")</f>
        <v/>
      </c>
      <c r="D184" s="881" t="str">
        <f>IF(ISNUMBER(INDEX('Database.Jan 12 to SEC'!$H$6:$H$191, MATCH($A184&amp;"USD bn", 'Database.Jan 12 to SEC'!$AD$6:$AD$191, 0))), INDEX('Database.Jan 12 to SEC'!$H$6:$H$191, MATCH($A184&amp;"USD bn", 'Database.Jan 12 to SEC'!$AD$6:$AD$191, 0)), "")</f>
        <v/>
      </c>
      <c r="E184" s="881" t="str">
        <f>IF(ISNUMBER(INDEX('Database.Jan 12 to SEC'!$J$6:$J$191, MATCH($A184&amp;"USD bn", 'Database.Jan 12 to SEC'!$AD$6:$AD$191, 0))), INDEX('Database.Jan 12 to SEC'!$J$6:$J$191, MATCH($A184&amp;"USD bn", 'Database.Jan 12 to SEC'!$AD$6:$AD$191, 0)), "")</f>
        <v/>
      </c>
      <c r="F184" s="881" t="str">
        <f>IF(ISNUMBER(INDEX('Database.Jan 12 to SEC'!$L$6:$L$191, MATCH($A184&amp;"USD bn", 'Database.Jan 12 to SEC'!$AD$6:$AD$191, 0))), INDEX('Database.Jan 12 to SEC'!$L$6:$L$191, MATCH($A184&amp;"USD bn", 'Database.Jan 12 to SEC'!$AD$6:$AD$191, 0)), "")</f>
        <v/>
      </c>
      <c r="G184" s="883"/>
      <c r="H184" s="882" t="str">
        <f>IF(ISNUMBER(INDEX('Database.Jan 12 to SEC'!$P$6:$P$191, MATCH($A184&amp;"USD bn", 'Database.Jan 12 to SEC'!$AD$6:$AD$191, 0))), INDEX('Database.Jan 12 to SEC'!$P$6:$P$191, MATCH($A184&amp;"USD bn", 'Database.Jan 12 to SEC'!$AD$6:$AD$191, 0)), "")</f>
        <v/>
      </c>
      <c r="I184" s="881" t="str">
        <f>IF(ISNUMBER(INDEX('Database.Jan 12 to SEC'!$Q$6:$Q$191, MATCH($A184&amp;"USD bn", 'Database.Jan 12 to SEC'!$AD$6:$AD$191, 0))), INDEX('Database.Jan 12 to SEC'!$Q$6:$Q$191, MATCH($A184&amp;"USD bn", 'Database.Jan 12 to SEC'!$AD$6:$AD$191, 0)), "")</f>
        <v/>
      </c>
      <c r="J184" s="884"/>
      <c r="K184" s="881" t="str">
        <f>IF(ISNUMBER(INDEX('Database.Jan 12 to SEC'!$U$6:$U$191, MATCH($A184&amp;"USD bn", 'Database.Jan 12 to SEC'!$AD$6:$AD$191, 0))), INDEX('Database.Jan 12 to SEC'!$U$6:$U$191, MATCH($A184&amp;"USD bn", 'Database.Jan 12 to SEC'!$AD$6:$AD$191, 0)), "")</f>
        <v/>
      </c>
      <c r="L184" s="881" t="str">
        <f>IF(ISNUMBER(INDEX('Database.Jan 12 to SEC'!$W$6:$W$191, MATCH($A184&amp;"USD bn", 'Database.Jan 12 to SEC'!$AD$6:$AD$191, 0))), INDEX('Database.Jan 12 to SEC'!$W$6:$W$191, MATCH($A184&amp;"USD bn", 'Database.Jan 12 to SEC'!$AD$6:$AD$191, 0)), "")</f>
        <v/>
      </c>
      <c r="M184" s="885"/>
      <c r="N184" s="885"/>
      <c r="O184" s="882" t="str">
        <f>IF(ISNUMBER(INDEX('Database.Jan 12 to SEC'!$G$6:$G$191, MATCH($A184&amp;"% GDP", 'Database.Jan 12 to SEC'!$AD$6:$AD$191, 0))), INDEX('Database.Jan 12 to SEC'!$G$6:$G$191, MATCH($A184&amp;"% GDP", 'Database.Jan 12 to SEC'!$AD$6:$AD$191, 0)), "")</f>
        <v/>
      </c>
      <c r="P184" s="881" t="str">
        <f>IF(ISNUMBER(INDEX('Database.Jan 12 to SEC'!$H$6:$H$191, MATCH($A184&amp;"% GDP", 'Database.Jan 12 to SEC'!$AD$6:$AD$191, 0))), INDEX('Database.Jan 12 to SEC'!$H$6:$H$191, MATCH($A184&amp;"% GDP", 'Database.Jan 12 to SEC'!$AD$6:$AD$191, 0)), "")</f>
        <v/>
      </c>
      <c r="Q184" s="881" t="str">
        <f>IF(ISNUMBER(INDEX('Database.Jan 12 to SEC'!$J$6:$J$191, MATCH($A184&amp;"% GDP", 'Database.Jan 12 to SEC'!$AD$6:$AD$191, 0))), INDEX('Database.Jan 12 to SEC'!$J$6:$J$191, MATCH($A184&amp;"% GDP", 'Database.Jan 12 to SEC'!$AD$6:$AD$191, 0)), "")</f>
        <v/>
      </c>
      <c r="R184" s="881" t="str">
        <f>IF(ISNUMBER(INDEX('Database.Jan 12 to SEC'!$L$6:$L$191, MATCH($A184&amp;"% GDP", 'Database.Jan 12 to SEC'!$AD$6:$AD$191, 0))), INDEX('Database.Jan 12 to SEC'!$L$6:$L$191, MATCH($A184&amp;"% GDP", 'Database.Jan 12 to SEC'!$AD$6:$AD$191, 0)), "")</f>
        <v/>
      </c>
      <c r="S184" s="883"/>
      <c r="T184" s="882" t="str">
        <f>IF(ISNUMBER(INDEX('Database.Jan 12 to SEC'!$P$6:$P$191, MATCH($A184&amp;"% GDP", 'Database.Jan 12 to SEC'!$AD$6:$AD$191, 0))), INDEX('Database.Jan 12 to SEC'!$P$6:$P$191, MATCH($A184&amp;"% GDP", 'Database.Jan 12 to SEC'!$AD$6:$AD$191, 0)), "")</f>
        <v/>
      </c>
      <c r="U184" s="881" t="str">
        <f>IF(ISNUMBER(INDEX('Database.Jan 12 to SEC'!$Q$6:$Q$191, MATCH($A184&amp;"% GDP", 'Database.Jan 12 to SEC'!$AD$6:$AD$191, 0))), INDEX('Database.Jan 12 to SEC'!$Q$6:$Q$191, MATCH($A184&amp;"% GDP", 'Database.Jan 12 to SEC'!$AD$6:$AD$191, 0)), "")</f>
        <v/>
      </c>
      <c r="V184" s="884"/>
      <c r="W184" s="881" t="str">
        <f>IF(ISNUMBER(INDEX('Database.Jan 12 to SEC'!$U$6:$U$191, MATCH($A184&amp;"% GDP", 'Database.Jan 12 to SEC'!$AD$6:$AD$191, 0))), INDEX('Database.Jan 12 to SEC'!$U$6:$U$191, MATCH($A184&amp;"% GDP", 'Database.Jan 12 to SEC'!$AD$6:$AD$191, 0)), "")</f>
        <v/>
      </c>
      <c r="X184" s="881" t="str">
        <f>IF(ISNUMBER(INDEX('Database.Jan 12 to SEC'!$W$6:$W$191, MATCH($A184&amp;"% GDP", 'Database.Jan 12 to SEC'!$AD$6:$AD$191, 0))), INDEX('Database.Jan 12 to SEC'!$W$6:$W$191, MATCH($A184&amp;"% GDP", 'Database.Jan 12 to SEC'!$AD$6:$AD$191, 0)), "")</f>
        <v/>
      </c>
      <c r="Z184" s="898"/>
      <c r="AA184" s="479" t="s">
        <v>1267</v>
      </c>
      <c r="AC184" s="562"/>
      <c r="AF184" s="839">
        <v>10.180721494026225</v>
      </c>
      <c r="AG184" s="833">
        <v>6.4029694930982552</v>
      </c>
      <c r="AH184" s="833">
        <v>3.7777520009279693</v>
      </c>
      <c r="AI184" s="833" t="s">
        <v>452</v>
      </c>
      <c r="AJ184" s="832"/>
      <c r="AK184" s="839" t="s">
        <v>452</v>
      </c>
      <c r="AL184" s="833" t="s">
        <v>452</v>
      </c>
      <c r="AM184" s="837"/>
      <c r="AN184" s="833" t="s">
        <v>452</v>
      </c>
      <c r="AO184" s="833" t="s">
        <v>452</v>
      </c>
      <c r="AP184" s="834"/>
      <c r="AQ184" s="834"/>
      <c r="AR184" s="839">
        <v>2.3707909284496753</v>
      </c>
      <c r="AS184" s="833">
        <v>1.4910634770123743</v>
      </c>
      <c r="AT184" s="833">
        <v>0.87972745143730102</v>
      </c>
      <c r="AU184" s="833" t="s">
        <v>452</v>
      </c>
      <c r="AV184" s="832"/>
      <c r="AW184" s="839" t="s">
        <v>452</v>
      </c>
      <c r="AX184" s="833" t="s">
        <v>452</v>
      </c>
      <c r="AY184" s="837"/>
      <c r="AZ184" s="833" t="s">
        <v>452</v>
      </c>
      <c r="BA184" s="833" t="s">
        <v>452</v>
      </c>
    </row>
    <row r="185" spans="1:53">
      <c r="A185" s="764" t="s">
        <v>1115</v>
      </c>
      <c r="B185" s="764" t="s">
        <v>1115</v>
      </c>
      <c r="C185" s="896">
        <v>0.52530545149656394</v>
      </c>
      <c r="D185" s="881">
        <v>0.21982891176758385</v>
      </c>
      <c r="E185" s="881">
        <v>0.30547653972898015</v>
      </c>
      <c r="F185" s="881" t="s">
        <v>452</v>
      </c>
      <c r="G185" s="883"/>
      <c r="H185" s="882">
        <v>5.7098418640930869E-2</v>
      </c>
      <c r="I185" s="881" t="s">
        <v>452</v>
      </c>
      <c r="J185" s="884"/>
      <c r="K185" s="881">
        <v>5.7098418640930869E-2</v>
      </c>
      <c r="L185" s="881" t="s">
        <v>452</v>
      </c>
      <c r="M185" s="885"/>
      <c r="N185" s="885"/>
      <c r="O185" s="882">
        <v>2.2565880000890863</v>
      </c>
      <c r="P185" s="881">
        <v>0.94433302177641121</v>
      </c>
      <c r="Q185" s="881">
        <v>1.3122549783126753</v>
      </c>
      <c r="R185" s="881" t="s">
        <v>452</v>
      </c>
      <c r="S185" s="883"/>
      <c r="T185" s="882">
        <v>0.24528130435750939</v>
      </c>
      <c r="U185" s="881" t="s">
        <v>452</v>
      </c>
      <c r="V185" s="884"/>
      <c r="W185" s="881">
        <v>0.24528130435750939</v>
      </c>
      <c r="X185" s="881" t="s">
        <v>452</v>
      </c>
      <c r="Z185" s="898"/>
      <c r="AA185" s="479" t="s">
        <v>1267</v>
      </c>
      <c r="AC185" s="717"/>
      <c r="AF185" s="839">
        <v>0.52530545149656394</v>
      </c>
      <c r="AG185" s="833">
        <v>0.21982891176758385</v>
      </c>
      <c r="AH185" s="833">
        <v>0.30547653972898015</v>
      </c>
      <c r="AI185" s="833" t="s">
        <v>452</v>
      </c>
      <c r="AJ185" s="832"/>
      <c r="AK185" s="839">
        <v>5.7098418640930869E-2</v>
      </c>
      <c r="AL185" s="833" t="s">
        <v>452</v>
      </c>
      <c r="AM185" s="837"/>
      <c r="AN185" s="833">
        <v>5.7098418640930869E-2</v>
      </c>
      <c r="AO185" s="833" t="s">
        <v>452</v>
      </c>
      <c r="AP185" s="834"/>
      <c r="AQ185" s="834"/>
      <c r="AR185" s="839">
        <v>2.2565880000890863</v>
      </c>
      <c r="AS185" s="833">
        <v>0.94433302177641121</v>
      </c>
      <c r="AT185" s="833">
        <v>1.3122549783126753</v>
      </c>
      <c r="AU185" s="833" t="s">
        <v>452</v>
      </c>
      <c r="AV185" s="832"/>
      <c r="AW185" s="839">
        <v>0.24528130435750939</v>
      </c>
      <c r="AX185" s="833" t="s">
        <v>452</v>
      </c>
      <c r="AY185" s="837"/>
      <c r="AZ185" s="833">
        <v>0.24528130435750939</v>
      </c>
      <c r="BA185" s="833" t="s">
        <v>452</v>
      </c>
    </row>
    <row r="186" spans="1:53">
      <c r="A186" s="764" t="s">
        <v>1116</v>
      </c>
      <c r="B186" s="764" t="s">
        <v>1116</v>
      </c>
      <c r="C186" s="896">
        <v>1.1000000000000001</v>
      </c>
      <c r="D186" s="881" t="s">
        <v>452</v>
      </c>
      <c r="E186" s="881" t="s">
        <v>452</v>
      </c>
      <c r="F186" s="881" t="s">
        <v>452</v>
      </c>
      <c r="G186" s="883"/>
      <c r="H186" s="882" t="s">
        <v>452</v>
      </c>
      <c r="I186" s="881" t="s">
        <v>452</v>
      </c>
      <c r="J186" s="884"/>
      <c r="K186" s="881">
        <v>0</v>
      </c>
      <c r="L186" s="881" t="s">
        <v>452</v>
      </c>
      <c r="M186" s="885"/>
      <c r="N186" s="885"/>
      <c r="O186" s="882">
        <v>10.1</v>
      </c>
      <c r="P186" s="881" t="s">
        <v>452</v>
      </c>
      <c r="Q186" s="881" t="s">
        <v>452</v>
      </c>
      <c r="R186" s="881" t="s">
        <v>452</v>
      </c>
      <c r="S186" s="883"/>
      <c r="T186" s="882" t="s">
        <v>452</v>
      </c>
      <c r="U186" s="881" t="s">
        <v>452</v>
      </c>
      <c r="V186" s="884"/>
      <c r="W186" s="881">
        <v>0</v>
      </c>
      <c r="X186" s="881" t="s">
        <v>452</v>
      </c>
      <c r="Z186" s="898"/>
      <c r="AA186" s="479" t="s">
        <v>1267</v>
      </c>
      <c r="AC186" s="717"/>
      <c r="AF186" s="839">
        <v>1.1000000000000001</v>
      </c>
      <c r="AG186" s="833" t="s">
        <v>452</v>
      </c>
      <c r="AH186" s="833" t="s">
        <v>452</v>
      </c>
      <c r="AI186" s="833" t="s">
        <v>452</v>
      </c>
      <c r="AJ186" s="832"/>
      <c r="AK186" s="839" t="s">
        <v>452</v>
      </c>
      <c r="AL186" s="833" t="s">
        <v>452</v>
      </c>
      <c r="AM186" s="837"/>
      <c r="AN186" s="833">
        <v>0</v>
      </c>
      <c r="AO186" s="833" t="s">
        <v>452</v>
      </c>
      <c r="AP186" s="834"/>
      <c r="AQ186" s="834"/>
      <c r="AR186" s="839">
        <v>10.1</v>
      </c>
      <c r="AS186" s="833" t="s">
        <v>452</v>
      </c>
      <c r="AT186" s="833" t="s">
        <v>452</v>
      </c>
      <c r="AU186" s="833" t="s">
        <v>452</v>
      </c>
      <c r="AV186" s="832"/>
      <c r="AW186" s="839" t="s">
        <v>452</v>
      </c>
      <c r="AX186" s="833" t="s">
        <v>452</v>
      </c>
      <c r="AY186" s="837"/>
      <c r="AZ186" s="833">
        <v>0</v>
      </c>
      <c r="BA186" s="833" t="s">
        <v>452</v>
      </c>
    </row>
    <row r="187" spans="1:53">
      <c r="A187" s="764" t="s">
        <v>1117</v>
      </c>
      <c r="B187" s="764" t="s">
        <v>1117</v>
      </c>
      <c r="C187" s="896">
        <v>1.257739191941596E-2</v>
      </c>
      <c r="D187" s="881">
        <v>6.0557812945336098E-3</v>
      </c>
      <c r="E187" s="881">
        <v>6.5216106248823496E-3</v>
      </c>
      <c r="F187" s="881" t="s">
        <v>452</v>
      </c>
      <c r="G187" s="883"/>
      <c r="H187" s="882" t="s">
        <v>452</v>
      </c>
      <c r="I187" s="881" t="s">
        <v>452</v>
      </c>
      <c r="J187" s="884"/>
      <c r="K187" s="881" t="s">
        <v>452</v>
      </c>
      <c r="L187" s="881" t="s">
        <v>452</v>
      </c>
      <c r="M187" s="885"/>
      <c r="N187" s="885"/>
      <c r="O187" s="882">
        <v>2.6348404287860667</v>
      </c>
      <c r="P187" s="881">
        <v>1.2686268731192174</v>
      </c>
      <c r="Q187" s="881">
        <v>1.3662135556668495</v>
      </c>
      <c r="R187" s="881" t="s">
        <v>452</v>
      </c>
      <c r="S187" s="883"/>
      <c r="T187" s="882" t="s">
        <v>452</v>
      </c>
      <c r="U187" s="881" t="s">
        <v>452</v>
      </c>
      <c r="V187" s="884"/>
      <c r="W187" s="881" t="s">
        <v>452</v>
      </c>
      <c r="X187" s="881" t="s">
        <v>452</v>
      </c>
      <c r="Z187" s="898"/>
      <c r="AA187" s="479" t="s">
        <v>1267</v>
      </c>
      <c r="AC187" s="717"/>
      <c r="AF187" s="839">
        <v>1.257739191941596E-2</v>
      </c>
      <c r="AG187" s="833">
        <v>6.0557812945336098E-3</v>
      </c>
      <c r="AH187" s="833">
        <v>6.5216106248823496E-3</v>
      </c>
      <c r="AI187" s="833" t="s">
        <v>452</v>
      </c>
      <c r="AJ187" s="832"/>
      <c r="AK187" s="839" t="s">
        <v>452</v>
      </c>
      <c r="AL187" s="833" t="s">
        <v>452</v>
      </c>
      <c r="AM187" s="837"/>
      <c r="AN187" s="833" t="s">
        <v>452</v>
      </c>
      <c r="AO187" s="833" t="s">
        <v>452</v>
      </c>
      <c r="AP187" s="834"/>
      <c r="AQ187" s="834"/>
      <c r="AR187" s="839">
        <v>2.6348404287860667</v>
      </c>
      <c r="AS187" s="833">
        <v>1.2686268731192174</v>
      </c>
      <c r="AT187" s="833">
        <v>1.3662135556668495</v>
      </c>
      <c r="AU187" s="833" t="s">
        <v>452</v>
      </c>
      <c r="AV187" s="832"/>
      <c r="AW187" s="839" t="s">
        <v>452</v>
      </c>
      <c r="AX187" s="833" t="s">
        <v>452</v>
      </c>
      <c r="AY187" s="837"/>
      <c r="AZ187" s="833" t="s">
        <v>452</v>
      </c>
      <c r="BA187" s="833" t="s">
        <v>452</v>
      </c>
    </row>
    <row r="188" spans="1:53">
      <c r="A188" s="764" t="s">
        <v>93</v>
      </c>
      <c r="B188" s="764" t="s">
        <v>93</v>
      </c>
      <c r="C188" s="896" t="str">
        <f>IF(ISNUMBER(INDEX('Database.Jan 12 to SEC'!$G$6:$G$191, MATCH($A188&amp;"USD bn", 'Database.Jan 12 to SEC'!$AD$6:$AD$191, 0))), INDEX('Database.Jan 12 to SEC'!$G$6:$G$191, MATCH($A188&amp;"USD bn", 'Database.Jan 12 to SEC'!$AD$6:$AD$191, 0)), "")</f>
        <v/>
      </c>
      <c r="D188" s="881" t="str">
        <f>IF(ISNUMBER(INDEX('Database.Jan 12 to SEC'!$H$6:$H$191, MATCH($A188&amp;"USD bn", 'Database.Jan 12 to SEC'!$AD$6:$AD$191, 0))), INDEX('Database.Jan 12 to SEC'!$H$6:$H$191, MATCH($A188&amp;"USD bn", 'Database.Jan 12 to SEC'!$AD$6:$AD$191, 0)), "")</f>
        <v/>
      </c>
      <c r="E188" s="881" t="str">
        <f>IF(ISNUMBER(INDEX('Database.Jan 12 to SEC'!$J$6:$J$191, MATCH($A188&amp;"USD bn", 'Database.Jan 12 to SEC'!$AD$6:$AD$191, 0))), INDEX('Database.Jan 12 to SEC'!$J$6:$J$191, MATCH($A188&amp;"USD bn", 'Database.Jan 12 to SEC'!$AD$6:$AD$191, 0)), "")</f>
        <v/>
      </c>
      <c r="F188" s="881" t="str">
        <f>IF(ISNUMBER(INDEX('Database.Jan 12 to SEC'!$L$6:$L$191, MATCH($A188&amp;"USD bn", 'Database.Jan 12 to SEC'!$AD$6:$AD$191, 0))), INDEX('Database.Jan 12 to SEC'!$L$6:$L$191, MATCH($A188&amp;"USD bn", 'Database.Jan 12 to SEC'!$AD$6:$AD$191, 0)), "")</f>
        <v/>
      </c>
      <c r="G188" s="883"/>
      <c r="H188" s="882" t="str">
        <f>IF(ISNUMBER(INDEX('Database.Jan 12 to SEC'!$P$6:$P$191, MATCH($A188&amp;"USD bn", 'Database.Jan 12 to SEC'!$AD$6:$AD$191, 0))), INDEX('Database.Jan 12 to SEC'!$P$6:$P$191, MATCH($A188&amp;"USD bn", 'Database.Jan 12 to SEC'!$AD$6:$AD$191, 0)), "")</f>
        <v/>
      </c>
      <c r="I188" s="881" t="str">
        <f>IF(ISNUMBER(INDEX('Database.Jan 12 to SEC'!$Q$6:$Q$191, MATCH($A188&amp;"USD bn", 'Database.Jan 12 to SEC'!$AD$6:$AD$191, 0))), INDEX('Database.Jan 12 to SEC'!$Q$6:$Q$191, MATCH($A188&amp;"USD bn", 'Database.Jan 12 to SEC'!$AD$6:$AD$191, 0)), "")</f>
        <v/>
      </c>
      <c r="J188" s="884"/>
      <c r="K188" s="881" t="str">
        <f>IF(ISNUMBER(INDEX('Database.Jan 12 to SEC'!$U$6:$U$191, MATCH($A188&amp;"USD bn", 'Database.Jan 12 to SEC'!$AD$6:$AD$191, 0))), INDEX('Database.Jan 12 to SEC'!$U$6:$U$191, MATCH($A188&amp;"USD bn", 'Database.Jan 12 to SEC'!$AD$6:$AD$191, 0)), "")</f>
        <v/>
      </c>
      <c r="L188" s="881" t="str">
        <f>IF(ISNUMBER(INDEX('Database.Jan 12 to SEC'!$W$6:$W$191, MATCH($A188&amp;"USD bn", 'Database.Jan 12 to SEC'!$AD$6:$AD$191, 0))), INDEX('Database.Jan 12 to SEC'!$W$6:$W$191, MATCH($A188&amp;"USD bn", 'Database.Jan 12 to SEC'!$AD$6:$AD$191, 0)), "")</f>
        <v/>
      </c>
      <c r="M188" s="885"/>
      <c r="N188" s="885"/>
      <c r="O188" s="882" t="str">
        <f>IF(ISNUMBER(INDEX('Database.Jan 12 to SEC'!$G$6:$G$191, MATCH($A188&amp;"% GDP", 'Database.Jan 12 to SEC'!$AD$6:$AD$191, 0))), INDEX('Database.Jan 12 to SEC'!$G$6:$G$191, MATCH($A188&amp;"% GDP", 'Database.Jan 12 to SEC'!$AD$6:$AD$191, 0)), "")</f>
        <v/>
      </c>
      <c r="P188" s="881" t="str">
        <f>IF(ISNUMBER(INDEX('Database.Jan 12 to SEC'!$H$6:$H$191, MATCH($A188&amp;"% GDP", 'Database.Jan 12 to SEC'!$AD$6:$AD$191, 0))), INDEX('Database.Jan 12 to SEC'!$H$6:$H$191, MATCH($A188&amp;"% GDP", 'Database.Jan 12 to SEC'!$AD$6:$AD$191, 0)), "")</f>
        <v/>
      </c>
      <c r="Q188" s="881" t="str">
        <f>IF(ISNUMBER(INDEX('Database.Jan 12 to SEC'!$J$6:$J$191, MATCH($A188&amp;"% GDP", 'Database.Jan 12 to SEC'!$AD$6:$AD$191, 0))), INDEX('Database.Jan 12 to SEC'!$J$6:$J$191, MATCH($A188&amp;"% GDP", 'Database.Jan 12 to SEC'!$AD$6:$AD$191, 0)), "")</f>
        <v/>
      </c>
      <c r="R188" s="881" t="str">
        <f>IF(ISNUMBER(INDEX('Database.Jan 12 to SEC'!$L$6:$L$191, MATCH($A188&amp;"% GDP", 'Database.Jan 12 to SEC'!$AD$6:$AD$191, 0))), INDEX('Database.Jan 12 to SEC'!$L$6:$L$191, MATCH($A188&amp;"% GDP", 'Database.Jan 12 to SEC'!$AD$6:$AD$191, 0)), "")</f>
        <v/>
      </c>
      <c r="S188" s="883"/>
      <c r="T188" s="882" t="str">
        <f>IF(ISNUMBER(INDEX('Database.Jan 12 to SEC'!$P$6:$P$191, MATCH($A188&amp;"% GDP", 'Database.Jan 12 to SEC'!$AD$6:$AD$191, 0))), INDEX('Database.Jan 12 to SEC'!$P$6:$P$191, MATCH($A188&amp;"% GDP", 'Database.Jan 12 to SEC'!$AD$6:$AD$191, 0)), "")</f>
        <v/>
      </c>
      <c r="U188" s="881" t="str">
        <f>IF(ISNUMBER(INDEX('Database.Jan 12 to SEC'!$Q$6:$Q$191, MATCH($A188&amp;"% GDP", 'Database.Jan 12 to SEC'!$AD$6:$AD$191, 0))), INDEX('Database.Jan 12 to SEC'!$Q$6:$Q$191, MATCH($A188&amp;"% GDP", 'Database.Jan 12 to SEC'!$AD$6:$AD$191, 0)), "")</f>
        <v/>
      </c>
      <c r="V188" s="884"/>
      <c r="W188" s="881" t="str">
        <f>IF(ISNUMBER(INDEX('Database.Jan 12 to SEC'!$U$6:$U$191, MATCH($A188&amp;"% GDP", 'Database.Jan 12 to SEC'!$AD$6:$AD$191, 0))), INDEX('Database.Jan 12 to SEC'!$U$6:$U$191, MATCH($A188&amp;"% GDP", 'Database.Jan 12 to SEC'!$AD$6:$AD$191, 0)), "")</f>
        <v/>
      </c>
      <c r="X188" s="881" t="str">
        <f>IF(ISNUMBER(INDEX('Database.Jan 12 to SEC'!$W$6:$W$191, MATCH($A188&amp;"% GDP", 'Database.Jan 12 to SEC'!$AD$6:$AD$191, 0))), INDEX('Database.Jan 12 to SEC'!$W$6:$W$191, MATCH($A188&amp;"% GDP", 'Database.Jan 12 to SEC'!$AD$6:$AD$191, 0)), "")</f>
        <v/>
      </c>
      <c r="Z188" s="898"/>
      <c r="AA188" s="479" t="s">
        <v>1267</v>
      </c>
      <c r="AC188" s="562"/>
      <c r="AF188" s="839">
        <v>1.3831990179032452</v>
      </c>
      <c r="AG188" s="833">
        <v>0.31491700910753129</v>
      </c>
      <c r="AH188" s="833">
        <v>1.0682820087957139</v>
      </c>
      <c r="AI188" s="833">
        <v>0.13918983827957185</v>
      </c>
      <c r="AJ188" s="832"/>
      <c r="AK188" s="839">
        <v>0.34797459569892963</v>
      </c>
      <c r="AL188" s="833" t="s">
        <v>452</v>
      </c>
      <c r="AM188" s="837"/>
      <c r="AN188" s="833">
        <v>0.34797459569892963</v>
      </c>
      <c r="AO188" s="833" t="s">
        <v>452</v>
      </c>
      <c r="AP188" s="834"/>
      <c r="AQ188" s="834"/>
      <c r="AR188" s="839">
        <v>5.6043392101381073</v>
      </c>
      <c r="AS188" s="833">
        <v>1.2759564742578584</v>
      </c>
      <c r="AT188" s="833">
        <v>4.3283827358802487</v>
      </c>
      <c r="AU188" s="833">
        <v>0.56395866265540706</v>
      </c>
      <c r="AV188" s="832"/>
      <c r="AW188" s="839">
        <v>1.4098966566385176</v>
      </c>
      <c r="AX188" s="833" t="s">
        <v>452</v>
      </c>
      <c r="AY188" s="837"/>
      <c r="AZ188" s="833">
        <v>1.4098966566385176</v>
      </c>
      <c r="BA188" s="833" t="s">
        <v>452</v>
      </c>
    </row>
    <row r="189" spans="1:53">
      <c r="A189" s="764" t="s">
        <v>1118</v>
      </c>
      <c r="B189" s="764" t="s">
        <v>1118</v>
      </c>
      <c r="C189" s="896">
        <v>0.27021586323656566</v>
      </c>
      <c r="D189" s="881">
        <v>3.5975935757547949E-2</v>
      </c>
      <c r="E189" s="881">
        <v>0.23423992747901773</v>
      </c>
      <c r="F189" s="881" t="s">
        <v>452</v>
      </c>
      <c r="G189" s="883"/>
      <c r="H189" s="882">
        <v>5.0813468584107277E-2</v>
      </c>
      <c r="I189" s="881" t="s">
        <v>452</v>
      </c>
      <c r="J189" s="884"/>
      <c r="K189" s="881" t="s">
        <v>452</v>
      </c>
      <c r="L189" s="881">
        <v>5.0813468584107277E-2</v>
      </c>
      <c r="M189" s="885"/>
      <c r="N189" s="885"/>
      <c r="O189" s="882">
        <v>6.4311617216107368</v>
      </c>
      <c r="P189" s="881">
        <v>0.85623048984550043</v>
      </c>
      <c r="Q189" s="881">
        <v>5.5749312317652375</v>
      </c>
      <c r="R189" s="881" t="s">
        <v>452</v>
      </c>
      <c r="S189" s="883"/>
      <c r="T189" s="882">
        <v>1.2093650986518367</v>
      </c>
      <c r="U189" s="881" t="s">
        <v>452</v>
      </c>
      <c r="V189" s="884"/>
      <c r="W189" s="881" t="s">
        <v>452</v>
      </c>
      <c r="X189" s="881">
        <v>1.2093650986518367</v>
      </c>
      <c r="Z189" s="898"/>
      <c r="AA189" s="479" t="s">
        <v>1267</v>
      </c>
      <c r="AC189" s="717"/>
      <c r="AF189" s="839">
        <v>0.27021586323656566</v>
      </c>
      <c r="AG189" s="833">
        <v>3.5975935757547949E-2</v>
      </c>
      <c r="AH189" s="833">
        <v>0.23423992747901773</v>
      </c>
      <c r="AI189" s="833" t="s">
        <v>452</v>
      </c>
      <c r="AJ189" s="832"/>
      <c r="AK189" s="839">
        <v>5.0813468584107277E-2</v>
      </c>
      <c r="AL189" s="833" t="s">
        <v>452</v>
      </c>
      <c r="AM189" s="837"/>
      <c r="AN189" s="833" t="s">
        <v>452</v>
      </c>
      <c r="AO189" s="833">
        <v>5.0813468584107277E-2</v>
      </c>
      <c r="AP189" s="834"/>
      <c r="AQ189" s="834"/>
      <c r="AR189" s="839">
        <v>6.4311617216107368</v>
      </c>
      <c r="AS189" s="833">
        <v>0.85623048984550043</v>
      </c>
      <c r="AT189" s="833">
        <v>5.5749312317652375</v>
      </c>
      <c r="AU189" s="833" t="s">
        <v>452</v>
      </c>
      <c r="AV189" s="832"/>
      <c r="AW189" s="839">
        <v>1.2093650986518367</v>
      </c>
      <c r="AX189" s="833" t="s">
        <v>452</v>
      </c>
      <c r="AY189" s="837"/>
      <c r="AZ189" s="833" t="s">
        <v>452</v>
      </c>
      <c r="BA189" s="833">
        <v>1.2093650986518367</v>
      </c>
    </row>
    <row r="190" spans="1:53">
      <c r="A190" s="764" t="s">
        <v>1119</v>
      </c>
      <c r="B190" s="764" t="s">
        <v>1119</v>
      </c>
      <c r="C190" s="896">
        <v>3.9236999999999987E-3</v>
      </c>
      <c r="D190" s="881">
        <v>2.4599999999999995E-3</v>
      </c>
      <c r="E190" s="881">
        <v>1.4636999999999992E-3</v>
      </c>
      <c r="F190" s="881" t="s">
        <v>452</v>
      </c>
      <c r="G190" s="883"/>
      <c r="H190" s="882">
        <v>1.2299999999999998E-3</v>
      </c>
      <c r="I190" s="881">
        <v>1.2299999999999998E-3</v>
      </c>
      <c r="J190" s="884"/>
      <c r="K190" s="881" t="s">
        <v>452</v>
      </c>
      <c r="L190" s="881" t="s">
        <v>452</v>
      </c>
      <c r="M190" s="885"/>
      <c r="N190" s="885"/>
      <c r="O190" s="882">
        <v>2.91878172588833</v>
      </c>
      <c r="P190" s="881">
        <v>1.2</v>
      </c>
      <c r="Q190" s="881">
        <v>1.71878172588833</v>
      </c>
      <c r="R190" s="881" t="s">
        <v>452</v>
      </c>
      <c r="S190" s="883"/>
      <c r="T190" s="882">
        <v>0.69796954314720805</v>
      </c>
      <c r="U190" s="881">
        <v>0.69796954314720805</v>
      </c>
      <c r="V190" s="884"/>
      <c r="W190" s="881" t="s">
        <v>452</v>
      </c>
      <c r="X190" s="881" t="s">
        <v>452</v>
      </c>
      <c r="Z190" s="898"/>
      <c r="AA190" s="479" t="s">
        <v>1267</v>
      </c>
      <c r="AC190" s="717"/>
      <c r="AF190" s="839">
        <v>3.9236999999999987E-3</v>
      </c>
      <c r="AG190" s="833">
        <v>2.4599999999999995E-3</v>
      </c>
      <c r="AH190" s="833">
        <v>1.4636999999999992E-3</v>
      </c>
      <c r="AI190" s="833" t="s">
        <v>452</v>
      </c>
      <c r="AJ190" s="832"/>
      <c r="AK190" s="839">
        <v>1.2299999999999998E-3</v>
      </c>
      <c r="AL190" s="833">
        <v>1.2299999999999998E-3</v>
      </c>
      <c r="AM190" s="837"/>
      <c r="AN190" s="833" t="s">
        <v>452</v>
      </c>
      <c r="AO190" s="833" t="s">
        <v>452</v>
      </c>
      <c r="AP190" s="834"/>
      <c r="AQ190" s="834"/>
      <c r="AR190" s="839">
        <v>2.91878172588833</v>
      </c>
      <c r="AS190" s="833">
        <v>1.2</v>
      </c>
      <c r="AT190" s="833">
        <v>1.71878172588833</v>
      </c>
      <c r="AU190" s="833" t="s">
        <v>452</v>
      </c>
      <c r="AV190" s="832"/>
      <c r="AW190" s="839">
        <v>0.69796954314720805</v>
      </c>
      <c r="AX190" s="833">
        <v>0.69796954314720805</v>
      </c>
      <c r="AY190" s="837"/>
      <c r="AZ190" s="833" t="s">
        <v>452</v>
      </c>
      <c r="BA190" s="833" t="s">
        <v>452</v>
      </c>
    </row>
    <row r="191" spans="1:53">
      <c r="A191" s="764" t="s">
        <v>1120</v>
      </c>
      <c r="B191" s="764" t="s">
        <v>1120</v>
      </c>
      <c r="C191" s="896">
        <v>0.12</v>
      </c>
      <c r="D191" s="881">
        <v>0.01</v>
      </c>
      <c r="E191" s="881">
        <v>0.11</v>
      </c>
      <c r="F191" s="881" t="s">
        <v>452</v>
      </c>
      <c r="G191" s="883"/>
      <c r="H191" s="882" t="s">
        <v>452</v>
      </c>
      <c r="I191" s="881" t="s">
        <v>452</v>
      </c>
      <c r="J191" s="884"/>
      <c r="K191" s="881" t="s">
        <v>452</v>
      </c>
      <c r="L191" s="881" t="s">
        <v>452</v>
      </c>
      <c r="M191" s="885"/>
      <c r="N191" s="885"/>
      <c r="O191" s="882">
        <v>2.4049664822510466</v>
      </c>
      <c r="P191" s="881">
        <v>0.20041387352092055</v>
      </c>
      <c r="Q191" s="881">
        <v>2.2045526087301264</v>
      </c>
      <c r="R191" s="881" t="s">
        <v>452</v>
      </c>
      <c r="S191" s="883"/>
      <c r="T191" s="882" t="s">
        <v>452</v>
      </c>
      <c r="U191" s="881" t="s">
        <v>452</v>
      </c>
      <c r="V191" s="884"/>
      <c r="W191" s="881" t="s">
        <v>452</v>
      </c>
      <c r="X191" s="881" t="s">
        <v>452</v>
      </c>
      <c r="Z191" s="898"/>
      <c r="AA191" s="479" t="s">
        <v>1267</v>
      </c>
      <c r="AC191" s="717"/>
      <c r="AF191" s="839">
        <v>0.12</v>
      </c>
      <c r="AG191" s="833">
        <v>0.01</v>
      </c>
      <c r="AH191" s="833">
        <v>0.11</v>
      </c>
      <c r="AI191" s="833" t="s">
        <v>452</v>
      </c>
      <c r="AJ191" s="832"/>
      <c r="AK191" s="839" t="s">
        <v>452</v>
      </c>
      <c r="AL191" s="833" t="s">
        <v>452</v>
      </c>
      <c r="AM191" s="837"/>
      <c r="AN191" s="833" t="s">
        <v>452</v>
      </c>
      <c r="AO191" s="833" t="s">
        <v>452</v>
      </c>
      <c r="AP191" s="834"/>
      <c r="AQ191" s="834"/>
      <c r="AR191" s="839">
        <v>2.4049664822510466</v>
      </c>
      <c r="AS191" s="833">
        <v>0.20041387352092055</v>
      </c>
      <c r="AT191" s="833">
        <v>2.2045526087301264</v>
      </c>
      <c r="AU191" s="833" t="s">
        <v>452</v>
      </c>
      <c r="AV191" s="832"/>
      <c r="AW191" s="839" t="s">
        <v>452</v>
      </c>
      <c r="AX191" s="833" t="s">
        <v>452</v>
      </c>
      <c r="AY191" s="837"/>
      <c r="AZ191" s="833" t="s">
        <v>452</v>
      </c>
      <c r="BA191" s="833" t="s">
        <v>452</v>
      </c>
    </row>
    <row r="192" spans="1:53" ht="13" customHeight="1">
      <c r="A192" s="764" t="s">
        <v>1121</v>
      </c>
      <c r="B192" s="764" t="s">
        <v>1121</v>
      </c>
      <c r="C192" s="896">
        <v>6.0299999999999999E-2</v>
      </c>
      <c r="D192" s="881">
        <v>4.9903987464271484E-3</v>
      </c>
      <c r="E192" s="881">
        <v>5.530960125357285E-2</v>
      </c>
      <c r="F192" s="881" t="s">
        <v>452</v>
      </c>
      <c r="G192" s="883"/>
      <c r="H192" s="882" t="s">
        <v>452</v>
      </c>
      <c r="I192" s="881" t="s">
        <v>452</v>
      </c>
      <c r="J192" s="884"/>
      <c r="K192" s="881" t="s">
        <v>452</v>
      </c>
      <c r="L192" s="881" t="s">
        <v>452</v>
      </c>
      <c r="M192" s="885"/>
      <c r="N192" s="885"/>
      <c r="O192" s="882">
        <v>1.25</v>
      </c>
      <c r="P192" s="881">
        <v>0.12249526425480639</v>
      </c>
      <c r="Q192" s="881">
        <v>1.1275047357451937</v>
      </c>
      <c r="R192" s="881" t="s">
        <v>452</v>
      </c>
      <c r="S192" s="883"/>
      <c r="T192" s="882" t="s">
        <v>452</v>
      </c>
      <c r="U192" s="881" t="s">
        <v>452</v>
      </c>
      <c r="V192" s="884"/>
      <c r="W192" s="881" t="s">
        <v>452</v>
      </c>
      <c r="X192" s="881" t="s">
        <v>452</v>
      </c>
      <c r="Z192" s="898"/>
      <c r="AA192" s="479" t="s">
        <v>1267</v>
      </c>
      <c r="AC192" s="717"/>
      <c r="AF192" s="839">
        <v>6.0299999999999999E-2</v>
      </c>
      <c r="AG192" s="833">
        <v>4.9903987464271484E-3</v>
      </c>
      <c r="AH192" s="833">
        <v>5.530960125357285E-2</v>
      </c>
      <c r="AI192" s="833" t="s">
        <v>452</v>
      </c>
      <c r="AJ192" s="832"/>
      <c r="AK192" s="839" t="s">
        <v>452</v>
      </c>
      <c r="AL192" s="833" t="s">
        <v>452</v>
      </c>
      <c r="AM192" s="837"/>
      <c r="AN192" s="833" t="s">
        <v>452</v>
      </c>
      <c r="AO192" s="833" t="s">
        <v>452</v>
      </c>
      <c r="AP192" s="834"/>
      <c r="AQ192" s="834"/>
      <c r="AR192" s="839">
        <v>1.25</v>
      </c>
      <c r="AS192" s="833">
        <v>0.12249526425480639</v>
      </c>
      <c r="AT192" s="833">
        <v>1.1275047357451937</v>
      </c>
      <c r="AU192" s="833" t="s">
        <v>452</v>
      </c>
      <c r="AV192" s="832"/>
      <c r="AW192" s="839" t="s">
        <v>452</v>
      </c>
      <c r="AX192" s="833" t="s">
        <v>452</v>
      </c>
      <c r="AY192" s="837"/>
      <c r="AZ192" s="833" t="s">
        <v>452</v>
      </c>
      <c r="BA192" s="833" t="s">
        <v>452</v>
      </c>
    </row>
    <row r="193" spans="1:53">
      <c r="A193" s="764" t="s">
        <v>1122</v>
      </c>
      <c r="B193" s="764" t="s">
        <v>1122</v>
      </c>
      <c r="C193" s="896">
        <v>0.81799999999999995</v>
      </c>
      <c r="D193" s="881" t="s">
        <v>452</v>
      </c>
      <c r="E193" s="881" t="s">
        <v>452</v>
      </c>
      <c r="F193" s="881" t="s">
        <v>452</v>
      </c>
      <c r="G193" s="883"/>
      <c r="H193" s="882" t="s">
        <v>452</v>
      </c>
      <c r="I193" s="881" t="s">
        <v>452</v>
      </c>
      <c r="J193" s="884"/>
      <c r="K193" s="881" t="s">
        <v>452</v>
      </c>
      <c r="L193" s="881" t="s">
        <v>452</v>
      </c>
      <c r="M193" s="885"/>
      <c r="N193" s="885"/>
      <c r="O193" s="882">
        <v>0.92045125355912061</v>
      </c>
      <c r="P193" s="881" t="s">
        <v>452</v>
      </c>
      <c r="Q193" s="881" t="s">
        <v>452</v>
      </c>
      <c r="R193" s="881" t="s">
        <v>452</v>
      </c>
      <c r="S193" s="883"/>
      <c r="T193" s="882" t="s">
        <v>452</v>
      </c>
      <c r="U193" s="881" t="s">
        <v>452</v>
      </c>
      <c r="V193" s="884"/>
      <c r="W193" s="881" t="s">
        <v>452</v>
      </c>
      <c r="X193" s="881" t="s">
        <v>452</v>
      </c>
      <c r="Z193" s="898"/>
      <c r="AA193" s="479" t="s">
        <v>1265</v>
      </c>
      <c r="AC193" s="717"/>
      <c r="AF193" s="839">
        <v>0.81799999999999995</v>
      </c>
      <c r="AG193" s="833" t="s">
        <v>452</v>
      </c>
      <c r="AH193" s="833" t="s">
        <v>452</v>
      </c>
      <c r="AI193" s="833" t="s">
        <v>452</v>
      </c>
      <c r="AJ193" s="832"/>
      <c r="AK193" s="839" t="s">
        <v>452</v>
      </c>
      <c r="AL193" s="833" t="s">
        <v>452</v>
      </c>
      <c r="AM193" s="837"/>
      <c r="AN193" s="833" t="s">
        <v>452</v>
      </c>
      <c r="AO193" s="833" t="s">
        <v>452</v>
      </c>
      <c r="AP193" s="834"/>
      <c r="AQ193" s="834"/>
      <c r="AR193" s="839">
        <v>0.92045125355912061</v>
      </c>
      <c r="AS193" s="833" t="s">
        <v>452</v>
      </c>
      <c r="AT193" s="833" t="s">
        <v>452</v>
      </c>
      <c r="AU193" s="833" t="s">
        <v>452</v>
      </c>
      <c r="AV193" s="832"/>
      <c r="AW193" s="839" t="s">
        <v>452</v>
      </c>
      <c r="AX193" s="833" t="s">
        <v>452</v>
      </c>
      <c r="AY193" s="837"/>
      <c r="AZ193" s="833" t="s">
        <v>452</v>
      </c>
      <c r="BA193" s="833" t="s">
        <v>452</v>
      </c>
    </row>
    <row r="194" spans="1:53">
      <c r="A194" s="764" t="s">
        <v>1123</v>
      </c>
      <c r="B194" s="764" t="s">
        <v>1123</v>
      </c>
      <c r="C194" s="896">
        <v>0.24317175905631516</v>
      </c>
      <c r="D194" s="881">
        <v>0.15500988625103757</v>
      </c>
      <c r="E194" s="881">
        <v>8.8161872805277583E-2</v>
      </c>
      <c r="F194" s="881" t="s">
        <v>452</v>
      </c>
      <c r="G194" s="883"/>
      <c r="H194" s="882">
        <v>3.8752471562759391E-2</v>
      </c>
      <c r="I194" s="881">
        <v>3.8752471562759391E-2</v>
      </c>
      <c r="J194" s="884"/>
      <c r="K194" s="881" t="s">
        <v>452</v>
      </c>
      <c r="L194" s="881" t="s">
        <v>452</v>
      </c>
      <c r="M194" s="885"/>
      <c r="N194" s="885"/>
      <c r="O194" s="882">
        <v>3.040839320111941</v>
      </c>
      <c r="P194" s="881">
        <v>1.9383836303502415</v>
      </c>
      <c r="Q194" s="881">
        <v>1.1024556897616995</v>
      </c>
      <c r="R194" s="881" t="s">
        <v>452</v>
      </c>
      <c r="S194" s="883"/>
      <c r="T194" s="882">
        <v>0.48459590758756038</v>
      </c>
      <c r="U194" s="881">
        <v>0.48459590758756038</v>
      </c>
      <c r="V194" s="884"/>
      <c r="W194" s="881" t="s">
        <v>452</v>
      </c>
      <c r="X194" s="881" t="s">
        <v>452</v>
      </c>
      <c r="Z194" s="898"/>
      <c r="AA194" s="479" t="s">
        <v>1265</v>
      </c>
      <c r="AC194" s="717"/>
      <c r="AF194" s="839">
        <v>0.24317175905631516</v>
      </c>
      <c r="AG194" s="833">
        <v>0.15500988625103757</v>
      </c>
      <c r="AH194" s="833">
        <v>8.8161872805277583E-2</v>
      </c>
      <c r="AI194" s="833" t="s">
        <v>452</v>
      </c>
      <c r="AJ194" s="832"/>
      <c r="AK194" s="839">
        <v>3.8752471562759391E-2</v>
      </c>
      <c r="AL194" s="833">
        <v>3.8752471562759391E-2</v>
      </c>
      <c r="AM194" s="837"/>
      <c r="AN194" s="833" t="s">
        <v>452</v>
      </c>
      <c r="AO194" s="833" t="s">
        <v>452</v>
      </c>
      <c r="AP194" s="834"/>
      <c r="AQ194" s="834"/>
      <c r="AR194" s="839">
        <v>3.040839320111941</v>
      </c>
      <c r="AS194" s="833">
        <v>1.9383836303502415</v>
      </c>
      <c r="AT194" s="833">
        <v>1.1024556897616995</v>
      </c>
      <c r="AU194" s="833" t="s">
        <v>452</v>
      </c>
      <c r="AV194" s="832"/>
      <c r="AW194" s="839">
        <v>0.48459590758756038</v>
      </c>
      <c r="AX194" s="833">
        <v>0.48459590758756038</v>
      </c>
      <c r="AY194" s="837"/>
      <c r="AZ194" s="833" t="s">
        <v>452</v>
      </c>
      <c r="BA194" s="833" t="s">
        <v>452</v>
      </c>
    </row>
    <row r="195" spans="1:53">
      <c r="A195" s="764" t="s">
        <v>1124</v>
      </c>
      <c r="B195" s="764" t="s">
        <v>1124</v>
      </c>
      <c r="C195" s="896" t="s">
        <v>452</v>
      </c>
      <c r="D195" s="881">
        <v>1.8038763315664882E-2</v>
      </c>
      <c r="E195" s="881" t="s">
        <v>452</v>
      </c>
      <c r="F195" s="881">
        <v>9.5830930114469692E-3</v>
      </c>
      <c r="G195" s="883"/>
      <c r="H195" s="882" t="s">
        <v>452</v>
      </c>
      <c r="I195" s="881" t="s">
        <v>452</v>
      </c>
      <c r="J195" s="884"/>
      <c r="K195" s="881" t="s">
        <v>452</v>
      </c>
      <c r="L195" s="881" t="s">
        <v>452</v>
      </c>
      <c r="M195" s="885"/>
      <c r="N195" s="885"/>
      <c r="O195" s="882" t="s">
        <v>452</v>
      </c>
      <c r="P195" s="881">
        <v>2.8009297460049591E-2</v>
      </c>
      <c r="Q195" s="881" t="s">
        <v>452</v>
      </c>
      <c r="R195" s="881">
        <v>1.4879939275651347E-2</v>
      </c>
      <c r="S195" s="883"/>
      <c r="T195" s="882" t="s">
        <v>452</v>
      </c>
      <c r="U195" s="881" t="s">
        <v>452</v>
      </c>
      <c r="V195" s="884"/>
      <c r="W195" s="881" t="s">
        <v>452</v>
      </c>
      <c r="X195" s="881" t="s">
        <v>452</v>
      </c>
      <c r="Z195" s="898"/>
      <c r="AA195" s="479" t="s">
        <v>1267</v>
      </c>
      <c r="AC195" s="717"/>
      <c r="AF195" s="839" t="s">
        <v>452</v>
      </c>
      <c r="AG195" s="833">
        <v>1.8038763315664882E-2</v>
      </c>
      <c r="AH195" s="833" t="s">
        <v>452</v>
      </c>
      <c r="AI195" s="833">
        <v>9.5830930114469692E-3</v>
      </c>
      <c r="AJ195" s="832"/>
      <c r="AK195" s="839" t="s">
        <v>452</v>
      </c>
      <c r="AL195" s="833" t="s">
        <v>452</v>
      </c>
      <c r="AM195" s="837"/>
      <c r="AN195" s="833" t="s">
        <v>452</v>
      </c>
      <c r="AO195" s="833" t="s">
        <v>452</v>
      </c>
      <c r="AP195" s="834"/>
      <c r="AQ195" s="834"/>
      <c r="AR195" s="839" t="s">
        <v>452</v>
      </c>
      <c r="AS195" s="833">
        <v>2.8009297460049591E-2</v>
      </c>
      <c r="AT195" s="833" t="s">
        <v>452</v>
      </c>
      <c r="AU195" s="833">
        <v>1.4879939275651347E-2</v>
      </c>
      <c r="AV195" s="832"/>
      <c r="AW195" s="839" t="s">
        <v>452</v>
      </c>
      <c r="AX195" s="833" t="s">
        <v>452</v>
      </c>
      <c r="AY195" s="837"/>
      <c r="AZ195" s="833" t="s">
        <v>452</v>
      </c>
      <c r="BA195" s="833" t="s">
        <v>452</v>
      </c>
    </row>
    <row r="196" spans="1:53">
      <c r="A196" s="764" t="s">
        <v>1125</v>
      </c>
      <c r="B196" s="764" t="s">
        <v>1125</v>
      </c>
      <c r="C196" s="896">
        <v>0.48</v>
      </c>
      <c r="D196" s="881" t="s">
        <v>452</v>
      </c>
      <c r="E196" s="881" t="s">
        <v>452</v>
      </c>
      <c r="F196" s="881" t="s">
        <v>452</v>
      </c>
      <c r="G196" s="883"/>
      <c r="H196" s="882" t="s">
        <v>452</v>
      </c>
      <c r="I196" s="881" t="s">
        <v>452</v>
      </c>
      <c r="J196" s="884"/>
      <c r="K196" s="881" t="s">
        <v>452</v>
      </c>
      <c r="L196" s="881" t="s">
        <v>452</v>
      </c>
      <c r="M196" s="885"/>
      <c r="N196" s="885"/>
      <c r="O196" s="882">
        <v>30.66279155892931</v>
      </c>
      <c r="P196" s="881" t="s">
        <v>452</v>
      </c>
      <c r="Q196" s="881" t="s">
        <v>452</v>
      </c>
      <c r="R196" s="881" t="s">
        <v>452</v>
      </c>
      <c r="S196" s="883"/>
      <c r="T196" s="882" t="s">
        <v>452</v>
      </c>
      <c r="U196" s="881" t="s">
        <v>452</v>
      </c>
      <c r="V196" s="884"/>
      <c r="W196" s="881" t="s">
        <v>452</v>
      </c>
      <c r="X196" s="881" t="s">
        <v>452</v>
      </c>
      <c r="Z196" s="898"/>
      <c r="AA196" s="479" t="s">
        <v>1267</v>
      </c>
      <c r="AC196" s="717"/>
      <c r="AF196" s="839">
        <v>0.48</v>
      </c>
      <c r="AG196" s="833" t="s">
        <v>452</v>
      </c>
      <c r="AH196" s="833" t="s">
        <v>452</v>
      </c>
      <c r="AI196" s="833" t="s">
        <v>452</v>
      </c>
      <c r="AJ196" s="832"/>
      <c r="AK196" s="839" t="s">
        <v>452</v>
      </c>
      <c r="AL196" s="833" t="s">
        <v>452</v>
      </c>
      <c r="AM196" s="837"/>
      <c r="AN196" s="833" t="s">
        <v>452</v>
      </c>
      <c r="AO196" s="833" t="s">
        <v>452</v>
      </c>
      <c r="AP196" s="834"/>
      <c r="AQ196" s="834"/>
      <c r="AR196" s="839">
        <v>30.66279155892931</v>
      </c>
      <c r="AS196" s="833" t="s">
        <v>452</v>
      </c>
      <c r="AT196" s="833" t="s">
        <v>452</v>
      </c>
      <c r="AU196" s="833" t="s">
        <v>452</v>
      </c>
      <c r="AV196" s="832"/>
      <c r="AW196" s="839" t="s">
        <v>452</v>
      </c>
      <c r="AX196" s="833" t="s">
        <v>452</v>
      </c>
      <c r="AY196" s="837"/>
      <c r="AZ196" s="833" t="s">
        <v>452</v>
      </c>
      <c r="BA196" s="833" t="s">
        <v>452</v>
      </c>
    </row>
    <row r="197" spans="1:53">
      <c r="A197" s="764" t="s">
        <v>1126</v>
      </c>
      <c r="B197" s="764" t="s">
        <v>1126</v>
      </c>
      <c r="C197" s="896">
        <v>0.32883599293548849</v>
      </c>
      <c r="D197" s="881">
        <v>0.1304904733870986</v>
      </c>
      <c r="E197" s="881">
        <v>0.19834551954838989</v>
      </c>
      <c r="F197" s="881" t="s">
        <v>452</v>
      </c>
      <c r="G197" s="883"/>
      <c r="H197" s="882" t="s">
        <v>452</v>
      </c>
      <c r="I197" s="881" t="s">
        <v>452</v>
      </c>
      <c r="J197" s="884"/>
      <c r="K197" s="881" t="s">
        <v>452</v>
      </c>
      <c r="L197" s="881" t="s">
        <v>452</v>
      </c>
      <c r="M197" s="885"/>
      <c r="N197" s="885"/>
      <c r="O197" s="882">
        <v>4.3350075484179049</v>
      </c>
      <c r="P197" s="881">
        <v>1.720241090642026</v>
      </c>
      <c r="Q197" s="881">
        <v>2.6147664577758789</v>
      </c>
      <c r="R197" s="881" t="s">
        <v>452</v>
      </c>
      <c r="S197" s="883"/>
      <c r="T197" s="882" t="s">
        <v>452</v>
      </c>
      <c r="U197" s="881" t="s">
        <v>452</v>
      </c>
      <c r="V197" s="884"/>
      <c r="W197" s="881" t="s">
        <v>452</v>
      </c>
      <c r="X197" s="881" t="s">
        <v>452</v>
      </c>
      <c r="Z197" s="898"/>
      <c r="AA197" s="479" t="s">
        <v>1265</v>
      </c>
      <c r="AB197" s="479" t="s">
        <v>1276</v>
      </c>
      <c r="AC197" s="717"/>
      <c r="AF197" s="839">
        <v>0.32883599293548849</v>
      </c>
      <c r="AG197" s="833">
        <v>0.1304904733870986</v>
      </c>
      <c r="AH197" s="833">
        <v>0.19834551954838989</v>
      </c>
      <c r="AI197" s="833" t="s">
        <v>452</v>
      </c>
      <c r="AJ197" s="832"/>
      <c r="AK197" s="839" t="s">
        <v>452</v>
      </c>
      <c r="AL197" s="833" t="s">
        <v>452</v>
      </c>
      <c r="AM197" s="837"/>
      <c r="AN197" s="833" t="s">
        <v>452</v>
      </c>
      <c r="AO197" s="833" t="s">
        <v>452</v>
      </c>
      <c r="AP197" s="834"/>
      <c r="AQ197" s="834"/>
      <c r="AR197" s="839">
        <v>4.3350075484179049</v>
      </c>
      <c r="AS197" s="833">
        <v>1.720241090642026</v>
      </c>
      <c r="AT197" s="833">
        <v>2.6147664577758789</v>
      </c>
      <c r="AU197" s="833" t="s">
        <v>452</v>
      </c>
      <c r="AV197" s="832"/>
      <c r="AW197" s="839" t="s">
        <v>452</v>
      </c>
      <c r="AX197" s="833" t="s">
        <v>452</v>
      </c>
      <c r="AY197" s="837"/>
      <c r="AZ197" s="833" t="s">
        <v>452</v>
      </c>
      <c r="BA197" s="833" t="s">
        <v>452</v>
      </c>
    </row>
    <row r="198" spans="1:53">
      <c r="A198" s="764" t="s">
        <v>1127</v>
      </c>
      <c r="B198" s="764" t="s">
        <v>1127</v>
      </c>
      <c r="C198" s="896">
        <v>0.65277324038108198</v>
      </c>
      <c r="D198" s="881">
        <v>0.37107829142278986</v>
      </c>
      <c r="E198" s="881">
        <v>0.28169494895829211</v>
      </c>
      <c r="F198" s="881">
        <v>0.20001859334824845</v>
      </c>
      <c r="G198" s="883"/>
      <c r="H198" s="882">
        <v>0.20631711768760097</v>
      </c>
      <c r="I198" s="881">
        <v>0.20631711768760097</v>
      </c>
      <c r="J198" s="884"/>
      <c r="K198" s="881" t="s">
        <v>452</v>
      </c>
      <c r="L198" s="881" t="s">
        <v>452</v>
      </c>
      <c r="M198" s="885"/>
      <c r="N198" s="885"/>
      <c r="O198" s="882">
        <v>1.6471857269765686</v>
      </c>
      <c r="P198" s="881">
        <v>0.92416746555581308</v>
      </c>
      <c r="Q198" s="881">
        <v>0.72301826142075554</v>
      </c>
      <c r="R198" s="881">
        <v>0.5123590597253368</v>
      </c>
      <c r="S198" s="883"/>
      <c r="T198" s="882">
        <v>0.51978367747288823</v>
      </c>
      <c r="U198" s="881">
        <v>0.51978367747288823</v>
      </c>
      <c r="V198" s="884"/>
      <c r="W198" s="881" t="s">
        <v>452</v>
      </c>
      <c r="X198" s="881" t="s">
        <v>452</v>
      </c>
      <c r="Z198" s="898"/>
      <c r="AA198" s="479" t="s">
        <v>1265</v>
      </c>
      <c r="AB198" s="479" t="s">
        <v>1286</v>
      </c>
      <c r="AC198" s="717"/>
      <c r="AF198" s="839">
        <v>0.65277324038108198</v>
      </c>
      <c r="AG198" s="833">
        <v>0.37107829142278986</v>
      </c>
      <c r="AH198" s="833">
        <v>0.28169494895829211</v>
      </c>
      <c r="AI198" s="833">
        <v>0.20001859334824845</v>
      </c>
      <c r="AJ198" s="832"/>
      <c r="AK198" s="839">
        <v>0.20631711768760097</v>
      </c>
      <c r="AL198" s="833">
        <v>0.20631711768760097</v>
      </c>
      <c r="AM198" s="837"/>
      <c r="AN198" s="833" t="s">
        <v>452</v>
      </c>
      <c r="AO198" s="833" t="s">
        <v>452</v>
      </c>
      <c r="AP198" s="834"/>
      <c r="AQ198" s="834"/>
      <c r="AR198" s="839">
        <v>1.6471857269765686</v>
      </c>
      <c r="AS198" s="833">
        <v>0.92416746555581308</v>
      </c>
      <c r="AT198" s="833">
        <v>0.72301826142075554</v>
      </c>
      <c r="AU198" s="833">
        <v>0.5123590597253368</v>
      </c>
      <c r="AV198" s="832"/>
      <c r="AW198" s="839">
        <v>0.51978367747288823</v>
      </c>
      <c r="AX198" s="833">
        <v>0.51978367747288823</v>
      </c>
      <c r="AY198" s="837"/>
      <c r="AZ198" s="833" t="s">
        <v>452</v>
      </c>
      <c r="BA198" s="833" t="s">
        <v>452</v>
      </c>
    </row>
    <row r="199" spans="1:53">
      <c r="A199" s="764" t="s">
        <v>913</v>
      </c>
      <c r="B199" s="764" t="s">
        <v>913</v>
      </c>
      <c r="C199" s="896" t="str">
        <f>IF(ISNUMBER(INDEX('Database.Jan 12 to SEC'!$G$6:$G$191, MATCH($A199&amp;"USD bn", 'Database.Jan 12 to SEC'!$AD$6:$AD$191, 0))), INDEX('Database.Jan 12 to SEC'!$G$6:$G$191, MATCH($A199&amp;"USD bn", 'Database.Jan 12 to SEC'!$AD$6:$AD$191, 0)), "")</f>
        <v/>
      </c>
      <c r="D199" s="881" t="str">
        <f>IF(ISNUMBER(INDEX('Database.Jan 12 to SEC'!$H$6:$H$191, MATCH($A199&amp;"USD bn", 'Database.Jan 12 to SEC'!$AD$6:$AD$191, 0))), INDEX('Database.Jan 12 to SEC'!$H$6:$H$191, MATCH($A199&amp;"USD bn", 'Database.Jan 12 to SEC'!$AD$6:$AD$191, 0)), "")</f>
        <v/>
      </c>
      <c r="E199" s="881" t="str">
        <f>IF(ISNUMBER(INDEX('Database.Jan 12 to SEC'!$J$6:$J$191, MATCH($A199&amp;"USD bn", 'Database.Jan 12 to SEC'!$AD$6:$AD$191, 0))), INDEX('Database.Jan 12 to SEC'!$J$6:$J$191, MATCH($A199&amp;"USD bn", 'Database.Jan 12 to SEC'!$AD$6:$AD$191, 0)), "")</f>
        <v/>
      </c>
      <c r="F199" s="881" t="str">
        <f>IF(ISNUMBER(INDEX('Database.Jan 12 to SEC'!$L$6:$L$191, MATCH($A199&amp;"USD bn", 'Database.Jan 12 to SEC'!$AD$6:$AD$191, 0))), INDEX('Database.Jan 12 to SEC'!$L$6:$L$191, MATCH($A199&amp;"USD bn", 'Database.Jan 12 to SEC'!$AD$6:$AD$191, 0)), "")</f>
        <v/>
      </c>
      <c r="G199" s="883"/>
      <c r="H199" s="882" t="str">
        <f>IF(ISNUMBER(INDEX('Database.Jan 12 to SEC'!$P$6:$P$191, MATCH($A199&amp;"USD bn", 'Database.Jan 12 to SEC'!$AD$6:$AD$191, 0))), INDEX('Database.Jan 12 to SEC'!$P$6:$P$191, MATCH($A199&amp;"USD bn", 'Database.Jan 12 to SEC'!$AD$6:$AD$191, 0)), "")</f>
        <v/>
      </c>
      <c r="I199" s="881" t="str">
        <f>IF(ISNUMBER(INDEX('Database.Jan 12 to SEC'!$Q$6:$Q$191, MATCH($A199&amp;"USD bn", 'Database.Jan 12 to SEC'!$AD$6:$AD$191, 0))), INDEX('Database.Jan 12 to SEC'!$Q$6:$Q$191, MATCH($A199&amp;"USD bn", 'Database.Jan 12 to SEC'!$AD$6:$AD$191, 0)), "")</f>
        <v/>
      </c>
      <c r="J199" s="884"/>
      <c r="K199" s="881" t="str">
        <f>IF(ISNUMBER(INDEX('Database.Jan 12 to SEC'!$U$6:$U$191, MATCH($A199&amp;"USD bn", 'Database.Jan 12 to SEC'!$AD$6:$AD$191, 0))), INDEX('Database.Jan 12 to SEC'!$U$6:$U$191, MATCH($A199&amp;"USD bn", 'Database.Jan 12 to SEC'!$AD$6:$AD$191, 0)), "")</f>
        <v/>
      </c>
      <c r="L199" s="881" t="str">
        <f>IF(ISNUMBER(INDEX('Database.Jan 12 to SEC'!$W$6:$W$191, MATCH($A199&amp;"USD bn", 'Database.Jan 12 to SEC'!$AD$6:$AD$191, 0))), INDEX('Database.Jan 12 to SEC'!$W$6:$W$191, MATCH($A199&amp;"USD bn", 'Database.Jan 12 to SEC'!$AD$6:$AD$191, 0)), "")</f>
        <v/>
      </c>
      <c r="M199" s="885"/>
      <c r="N199" s="885"/>
      <c r="O199" s="882" t="str">
        <f>IF(ISNUMBER(INDEX('Database.Jan 12 to SEC'!$G$6:$G$191, MATCH($A199&amp;"% GDP", 'Database.Jan 12 to SEC'!$AD$6:$AD$191, 0))), INDEX('Database.Jan 12 to SEC'!$G$6:$G$191, MATCH($A199&amp;"% GDP", 'Database.Jan 12 to SEC'!$AD$6:$AD$191, 0)), "")</f>
        <v/>
      </c>
      <c r="P199" s="881" t="str">
        <f>IF(ISNUMBER(INDEX('Database.Jan 12 to SEC'!$H$6:$H$191, MATCH($A199&amp;"% GDP", 'Database.Jan 12 to SEC'!$AD$6:$AD$191, 0))), INDEX('Database.Jan 12 to SEC'!$H$6:$H$191, MATCH($A199&amp;"% GDP", 'Database.Jan 12 to SEC'!$AD$6:$AD$191, 0)), "")</f>
        <v/>
      </c>
      <c r="Q199" s="881" t="str">
        <f>IF(ISNUMBER(INDEX('Database.Jan 12 to SEC'!$J$6:$J$191, MATCH($A199&amp;"% GDP", 'Database.Jan 12 to SEC'!$AD$6:$AD$191, 0))), INDEX('Database.Jan 12 to SEC'!$J$6:$J$191, MATCH($A199&amp;"% GDP", 'Database.Jan 12 to SEC'!$AD$6:$AD$191, 0)), "")</f>
        <v/>
      </c>
      <c r="R199" s="881" t="str">
        <f>IF(ISNUMBER(INDEX('Database.Jan 12 to SEC'!$L$6:$L$191, MATCH($A199&amp;"% GDP", 'Database.Jan 12 to SEC'!$AD$6:$AD$191, 0))), INDEX('Database.Jan 12 to SEC'!$L$6:$L$191, MATCH($A199&amp;"% GDP", 'Database.Jan 12 to SEC'!$AD$6:$AD$191, 0)), "")</f>
        <v/>
      </c>
      <c r="S199" s="883"/>
      <c r="T199" s="882" t="str">
        <f>IF(ISNUMBER(INDEX('Database.Jan 12 to SEC'!$P$6:$P$191, MATCH($A199&amp;"% GDP", 'Database.Jan 12 to SEC'!$AD$6:$AD$191, 0))), INDEX('Database.Jan 12 to SEC'!$P$6:$P$191, MATCH($A199&amp;"% GDP", 'Database.Jan 12 to SEC'!$AD$6:$AD$191, 0)), "")</f>
        <v/>
      </c>
      <c r="U199" s="881" t="str">
        <f>IF(ISNUMBER(INDEX('Database.Jan 12 to SEC'!$Q$6:$Q$191, MATCH($A199&amp;"% GDP", 'Database.Jan 12 to SEC'!$AD$6:$AD$191, 0))), INDEX('Database.Jan 12 to SEC'!$Q$6:$Q$191, MATCH($A199&amp;"% GDP", 'Database.Jan 12 to SEC'!$AD$6:$AD$191, 0)), "")</f>
        <v/>
      </c>
      <c r="V199" s="884"/>
      <c r="W199" s="881" t="str">
        <f>IF(ISNUMBER(INDEX('Database.Jan 12 to SEC'!$U$6:$U$191, MATCH($A199&amp;"% GDP", 'Database.Jan 12 to SEC'!$AD$6:$AD$191, 0))), INDEX('Database.Jan 12 to SEC'!$U$6:$U$191, MATCH($A199&amp;"% GDP", 'Database.Jan 12 to SEC'!$AD$6:$AD$191, 0)), "")</f>
        <v/>
      </c>
      <c r="X199" s="881" t="str">
        <f>IF(ISNUMBER(INDEX('Database.Jan 12 to SEC'!$W$6:$W$191, MATCH($A199&amp;"% GDP", 'Database.Jan 12 to SEC'!$AD$6:$AD$191, 0))), INDEX('Database.Jan 12 to SEC'!$W$6:$W$191, MATCH($A199&amp;"% GDP", 'Database.Jan 12 to SEC'!$AD$6:$AD$191, 0)), "")</f>
        <v/>
      </c>
      <c r="Z199" s="898"/>
      <c r="AA199" s="479" t="s">
        <v>1265</v>
      </c>
      <c r="AB199" s="479" t="s">
        <v>1285</v>
      </c>
      <c r="AC199" s="717"/>
      <c r="AF199" s="839">
        <v>3.3915014286441689</v>
      </c>
      <c r="AG199" s="833">
        <v>0.70117551530619915</v>
      </c>
      <c r="AH199" s="833">
        <v>2.6903259133379698</v>
      </c>
      <c r="AI199" s="833" t="s">
        <v>452</v>
      </c>
      <c r="AJ199" s="832"/>
      <c r="AK199" s="839">
        <v>1.2307868087821581</v>
      </c>
      <c r="AL199" s="833">
        <v>1.2307868087821581</v>
      </c>
      <c r="AM199" s="837"/>
      <c r="AN199" s="833" t="s">
        <v>452</v>
      </c>
      <c r="AO199" s="833" t="s">
        <v>452</v>
      </c>
      <c r="AP199" s="834"/>
      <c r="AQ199" s="834"/>
      <c r="AR199" s="839">
        <v>5.6592682383610757</v>
      </c>
      <c r="AS199" s="833">
        <v>1.1700246651157062</v>
      </c>
      <c r="AT199" s="833">
        <v>4.4892435732453695</v>
      </c>
      <c r="AU199" s="833" t="s">
        <v>452</v>
      </c>
      <c r="AV199" s="832"/>
      <c r="AW199" s="839">
        <v>2.0537666994052293</v>
      </c>
      <c r="AX199" s="833">
        <v>2.0537666994052293</v>
      </c>
      <c r="AY199" s="837"/>
      <c r="AZ199" s="833" t="s">
        <v>452</v>
      </c>
      <c r="BA199" s="833" t="s">
        <v>452</v>
      </c>
    </row>
    <row r="200" spans="1:53">
      <c r="A200" s="764" t="s">
        <v>33</v>
      </c>
      <c r="B200" s="764" t="s">
        <v>33</v>
      </c>
      <c r="C200" s="896" t="str">
        <f>IF(ISNUMBER(INDEX('Database.Jan 12 to SEC'!$G$6:$G$191, MATCH($A200&amp;"USD bn", 'Database.Jan 12 to SEC'!$AD$6:$AD$191, 0))), INDEX('Database.Jan 12 to SEC'!$G$6:$G$191, MATCH($A200&amp;"USD bn", 'Database.Jan 12 to SEC'!$AD$6:$AD$191, 0)), "")</f>
        <v/>
      </c>
      <c r="D200" s="881" t="str">
        <f>IF(ISNUMBER(INDEX('Database.Jan 12 to SEC'!$H$6:$H$191, MATCH($A200&amp;"USD bn", 'Database.Jan 12 to SEC'!$AD$6:$AD$191, 0))), INDEX('Database.Jan 12 to SEC'!$H$6:$H$191, MATCH($A200&amp;"USD bn", 'Database.Jan 12 to SEC'!$AD$6:$AD$191, 0)), "")</f>
        <v/>
      </c>
      <c r="E200" s="881" t="str">
        <f>IF(ISNUMBER(INDEX('Database.Jan 12 to SEC'!$J$6:$J$191, MATCH($A200&amp;"USD bn", 'Database.Jan 12 to SEC'!$AD$6:$AD$191, 0))), INDEX('Database.Jan 12 to SEC'!$J$6:$J$191, MATCH($A200&amp;"USD bn", 'Database.Jan 12 to SEC'!$AD$6:$AD$191, 0)), "")</f>
        <v/>
      </c>
      <c r="F200" s="881" t="str">
        <f>IF(ISNUMBER(INDEX('Database.Jan 12 to SEC'!$L$6:$L$191, MATCH($A200&amp;"USD bn", 'Database.Jan 12 to SEC'!$AD$6:$AD$191, 0))), INDEX('Database.Jan 12 to SEC'!$L$6:$L$191, MATCH($A200&amp;"USD bn", 'Database.Jan 12 to SEC'!$AD$6:$AD$191, 0)), "")</f>
        <v/>
      </c>
      <c r="G200" s="883"/>
      <c r="H200" s="882" t="str">
        <f>IF(ISNUMBER(INDEX('Database.Jan 12 to SEC'!$P$6:$P$191, MATCH($A200&amp;"USD bn", 'Database.Jan 12 to SEC'!$AD$6:$AD$191, 0))), INDEX('Database.Jan 12 to SEC'!$P$6:$P$191, MATCH($A200&amp;"USD bn", 'Database.Jan 12 to SEC'!$AD$6:$AD$191, 0)), "")</f>
        <v/>
      </c>
      <c r="I200" s="881" t="str">
        <f>IF(ISNUMBER(INDEX('Database.Jan 12 to SEC'!$Q$6:$Q$191, MATCH($A200&amp;"USD bn", 'Database.Jan 12 to SEC'!$AD$6:$AD$191, 0))), INDEX('Database.Jan 12 to SEC'!$Q$6:$Q$191, MATCH($A200&amp;"USD bn", 'Database.Jan 12 to SEC'!$AD$6:$AD$191, 0)), "")</f>
        <v/>
      </c>
      <c r="J200" s="884"/>
      <c r="K200" s="881" t="str">
        <f>IF(ISNUMBER(INDEX('Database.Jan 12 to SEC'!$U$6:$U$191, MATCH($A200&amp;"USD bn", 'Database.Jan 12 to SEC'!$AD$6:$AD$191, 0))), INDEX('Database.Jan 12 to SEC'!$U$6:$U$191, MATCH($A200&amp;"USD bn", 'Database.Jan 12 to SEC'!$AD$6:$AD$191, 0)), "")</f>
        <v/>
      </c>
      <c r="L200" s="881" t="str">
        <f>IF(ISNUMBER(INDEX('Database.Jan 12 to SEC'!$W$6:$W$191, MATCH($A200&amp;"USD bn", 'Database.Jan 12 to SEC'!$AD$6:$AD$191, 0))), INDEX('Database.Jan 12 to SEC'!$W$6:$W$191, MATCH($A200&amp;"USD bn", 'Database.Jan 12 to SEC'!$AD$6:$AD$191, 0)), "")</f>
        <v/>
      </c>
      <c r="M200" s="885"/>
      <c r="N200" s="885"/>
      <c r="O200" s="882" t="str">
        <f>IF(ISNUMBER(INDEX('Database.Jan 12 to SEC'!$G$6:$G$191, MATCH($A200&amp;"% GDP", 'Database.Jan 12 to SEC'!$AD$6:$AD$191, 0))), INDEX('Database.Jan 12 to SEC'!$G$6:$G$191, MATCH($A200&amp;"% GDP", 'Database.Jan 12 to SEC'!$AD$6:$AD$191, 0)), "")</f>
        <v/>
      </c>
      <c r="P200" s="881" t="str">
        <f>IF(ISNUMBER(INDEX('Database.Jan 12 to SEC'!$H$6:$H$191, MATCH($A200&amp;"% GDP", 'Database.Jan 12 to SEC'!$AD$6:$AD$191, 0))), INDEX('Database.Jan 12 to SEC'!$H$6:$H$191, MATCH($A200&amp;"% GDP", 'Database.Jan 12 to SEC'!$AD$6:$AD$191, 0)), "")</f>
        <v/>
      </c>
      <c r="Q200" s="881" t="str">
        <f>IF(ISNUMBER(INDEX('Database.Jan 12 to SEC'!$J$6:$J$191, MATCH($A200&amp;"% GDP", 'Database.Jan 12 to SEC'!$AD$6:$AD$191, 0))), INDEX('Database.Jan 12 to SEC'!$J$6:$J$191, MATCH($A200&amp;"% GDP", 'Database.Jan 12 to SEC'!$AD$6:$AD$191, 0)), "")</f>
        <v/>
      </c>
      <c r="R200" s="881" t="str">
        <f>IF(ISNUMBER(INDEX('Database.Jan 12 to SEC'!$L$6:$L$191, MATCH($A200&amp;"% GDP", 'Database.Jan 12 to SEC'!$AD$6:$AD$191, 0))), INDEX('Database.Jan 12 to SEC'!$L$6:$L$191, MATCH($A200&amp;"% GDP", 'Database.Jan 12 to SEC'!$AD$6:$AD$191, 0)), "")</f>
        <v/>
      </c>
      <c r="S200" s="883"/>
      <c r="T200" s="882" t="str">
        <f>IF(ISNUMBER(INDEX('Database.Jan 12 to SEC'!$P$6:$P$191, MATCH($A200&amp;"% GDP", 'Database.Jan 12 to SEC'!$AD$6:$AD$191, 0))), INDEX('Database.Jan 12 to SEC'!$P$6:$P$191, MATCH($A200&amp;"% GDP", 'Database.Jan 12 to SEC'!$AD$6:$AD$191, 0)), "")</f>
        <v/>
      </c>
      <c r="U200" s="881" t="str">
        <f>IF(ISNUMBER(INDEX('Database.Jan 12 to SEC'!$Q$6:$Q$191, MATCH($A200&amp;"% GDP", 'Database.Jan 12 to SEC'!$AD$6:$AD$191, 0))), INDEX('Database.Jan 12 to SEC'!$Q$6:$Q$191, MATCH($A200&amp;"% GDP", 'Database.Jan 12 to SEC'!$AD$6:$AD$191, 0)), "")</f>
        <v/>
      </c>
      <c r="V200" s="884"/>
      <c r="W200" s="881" t="str">
        <f>IF(ISNUMBER(INDEX('Database.Jan 12 to SEC'!$U$6:$U$191, MATCH($A200&amp;"% GDP", 'Database.Jan 12 to SEC'!$AD$6:$AD$191, 0))), INDEX('Database.Jan 12 to SEC'!$U$6:$U$191, MATCH($A200&amp;"% GDP", 'Database.Jan 12 to SEC'!$AD$6:$AD$191, 0)), "")</f>
        <v/>
      </c>
      <c r="X200" s="881" t="str">
        <f>IF(ISNUMBER(INDEX('Database.Jan 12 to SEC'!$W$6:$W$191, MATCH($A200&amp;"% GDP", 'Database.Jan 12 to SEC'!$AD$6:$AD$191, 0))), INDEX('Database.Jan 12 to SEC'!$W$6:$W$191, MATCH($A200&amp;"% GDP", 'Database.Jan 12 to SEC'!$AD$6:$AD$191, 0)), "")</f>
        <v/>
      </c>
      <c r="Z200" s="898"/>
      <c r="AA200" s="479" t="s">
        <v>1267</v>
      </c>
      <c r="AC200" s="562"/>
      <c r="AF200" s="839">
        <v>6.074238065187715</v>
      </c>
      <c r="AG200" s="833">
        <v>1.3739501827943565</v>
      </c>
      <c r="AH200" s="833">
        <v>4.7002878823933587</v>
      </c>
      <c r="AI200" s="833">
        <v>12.70580890044938</v>
      </c>
      <c r="AJ200" s="832"/>
      <c r="AK200" s="839">
        <v>3.2776679909294839</v>
      </c>
      <c r="AL200" s="833">
        <v>1.119834004785369</v>
      </c>
      <c r="AM200" s="837"/>
      <c r="AN200" s="833" t="s">
        <v>452</v>
      </c>
      <c r="AO200" s="833">
        <v>2.1578339861441149</v>
      </c>
      <c r="AP200" s="834"/>
      <c r="AQ200" s="834"/>
      <c r="AR200" s="839">
        <v>1.7703277371912942</v>
      </c>
      <c r="AS200" s="833">
        <v>0.40043575704745288</v>
      </c>
      <c r="AT200" s="833">
        <v>1.3698919801438414</v>
      </c>
      <c r="AU200" s="833">
        <v>3.7030892893103009</v>
      </c>
      <c r="AV200" s="832"/>
      <c r="AW200" s="839">
        <v>0.95527150819157258</v>
      </c>
      <c r="AX200" s="833">
        <v>0.3263739712612469</v>
      </c>
      <c r="AY200" s="837"/>
      <c r="AZ200" s="833" t="s">
        <v>452</v>
      </c>
      <c r="BA200" s="833">
        <v>0.62889753693032568</v>
      </c>
    </row>
    <row r="201" spans="1:53">
      <c r="A201" s="764" t="s">
        <v>1128</v>
      </c>
      <c r="B201" s="764" t="s">
        <v>1128</v>
      </c>
      <c r="C201" s="896">
        <v>0.22745443254464301</v>
      </c>
      <c r="D201" s="881">
        <v>2.2942000000000001E-2</v>
      </c>
      <c r="E201" s="881">
        <v>0.20451243254464302</v>
      </c>
      <c r="F201" s="881" t="s">
        <v>452</v>
      </c>
      <c r="G201" s="883"/>
      <c r="H201" s="882" t="s">
        <v>452</v>
      </c>
      <c r="I201" s="881" t="s">
        <v>452</v>
      </c>
      <c r="J201" s="884"/>
      <c r="K201" s="881" t="s">
        <v>452</v>
      </c>
      <c r="L201" s="881" t="s">
        <v>452</v>
      </c>
      <c r="M201" s="885"/>
      <c r="N201" s="885"/>
      <c r="O201" s="882">
        <v>1.2072624286477891</v>
      </c>
      <c r="P201" s="881">
        <v>0.114</v>
      </c>
      <c r="Q201" s="881">
        <v>1.093262428647789</v>
      </c>
      <c r="R201" s="881" t="s">
        <v>452</v>
      </c>
      <c r="S201" s="883"/>
      <c r="T201" s="882" t="s">
        <v>452</v>
      </c>
      <c r="U201" s="881" t="s">
        <v>452</v>
      </c>
      <c r="V201" s="884"/>
      <c r="W201" s="881" t="s">
        <v>452</v>
      </c>
      <c r="X201" s="881" t="s">
        <v>452</v>
      </c>
      <c r="Z201" s="898"/>
      <c r="AA201" s="479" t="s">
        <v>1267</v>
      </c>
      <c r="AC201" s="717"/>
      <c r="AF201" s="839">
        <v>0.22745443254464301</v>
      </c>
      <c r="AG201" s="833">
        <v>2.2942000000000001E-2</v>
      </c>
      <c r="AH201" s="833">
        <v>0.20451243254464302</v>
      </c>
      <c r="AI201" s="833" t="s">
        <v>452</v>
      </c>
      <c r="AJ201" s="832"/>
      <c r="AK201" s="839" t="s">
        <v>452</v>
      </c>
      <c r="AL201" s="833" t="s">
        <v>452</v>
      </c>
      <c r="AM201" s="837"/>
      <c r="AN201" s="833" t="s">
        <v>452</v>
      </c>
      <c r="AO201" s="833" t="s">
        <v>452</v>
      </c>
      <c r="AP201" s="834"/>
      <c r="AQ201" s="834"/>
      <c r="AR201" s="839">
        <v>1.2072624286477891</v>
      </c>
      <c r="AS201" s="833">
        <v>0.114</v>
      </c>
      <c r="AT201" s="833">
        <v>1.093262428647789</v>
      </c>
      <c r="AU201" s="833" t="s">
        <v>452</v>
      </c>
      <c r="AV201" s="832"/>
      <c r="AW201" s="839" t="s">
        <v>452</v>
      </c>
      <c r="AX201" s="833" t="s">
        <v>452</v>
      </c>
      <c r="AY201" s="837"/>
      <c r="AZ201" s="833" t="s">
        <v>452</v>
      </c>
      <c r="BA201" s="833" t="s">
        <v>452</v>
      </c>
    </row>
    <row r="202" spans="1:53">
      <c r="A202" s="764" t="s">
        <v>916</v>
      </c>
      <c r="B202" s="764" t="s">
        <v>916</v>
      </c>
      <c r="C202" s="896">
        <v>0.38704558122717753</v>
      </c>
      <c r="D202" s="881">
        <v>5.4513462144672897E-2</v>
      </c>
      <c r="E202" s="881">
        <v>0.33253211908250463</v>
      </c>
      <c r="F202" s="881" t="s">
        <v>452</v>
      </c>
      <c r="G202" s="883"/>
      <c r="H202" s="882">
        <v>4.9062115930205603E-2</v>
      </c>
      <c r="I202" s="881">
        <v>4.9062115930205603E-2</v>
      </c>
      <c r="J202" s="884"/>
      <c r="K202" s="881" t="s">
        <v>452</v>
      </c>
      <c r="L202" s="881" t="s">
        <v>452</v>
      </c>
      <c r="M202" s="885"/>
      <c r="N202" s="885"/>
      <c r="O202" s="882">
        <v>2.0034076510126715</v>
      </c>
      <c r="P202" s="881">
        <v>0.28217009169192564</v>
      </c>
      <c r="Q202" s="881">
        <v>1.7212375593207461</v>
      </c>
      <c r="R202" s="881" t="s">
        <v>452</v>
      </c>
      <c r="S202" s="883"/>
      <c r="T202" s="882">
        <v>0.25395308252273302</v>
      </c>
      <c r="U202" s="881">
        <v>0.25395308252273302</v>
      </c>
      <c r="V202" s="884"/>
      <c r="W202" s="881" t="s">
        <v>452</v>
      </c>
      <c r="X202" s="881" t="s">
        <v>452</v>
      </c>
      <c r="Z202" s="898"/>
      <c r="AA202" s="479" t="s">
        <v>1267</v>
      </c>
      <c r="AC202" s="717"/>
      <c r="AF202" s="839">
        <v>0.38704558122717753</v>
      </c>
      <c r="AG202" s="833">
        <v>5.4513462144672897E-2</v>
      </c>
      <c r="AH202" s="833">
        <v>0.33253211908250463</v>
      </c>
      <c r="AI202" s="833" t="s">
        <v>452</v>
      </c>
      <c r="AJ202" s="832"/>
      <c r="AK202" s="839">
        <v>4.9062115930205603E-2</v>
      </c>
      <c r="AL202" s="833">
        <v>4.9062115930205603E-2</v>
      </c>
      <c r="AM202" s="837"/>
      <c r="AN202" s="833" t="s">
        <v>452</v>
      </c>
      <c r="AO202" s="833" t="s">
        <v>452</v>
      </c>
      <c r="AP202" s="834"/>
      <c r="AQ202" s="834"/>
      <c r="AR202" s="839">
        <v>2.0034076510126715</v>
      </c>
      <c r="AS202" s="833">
        <v>0.28217009169192564</v>
      </c>
      <c r="AT202" s="833">
        <v>1.7212375593207461</v>
      </c>
      <c r="AU202" s="833" t="s">
        <v>452</v>
      </c>
      <c r="AV202" s="832"/>
      <c r="AW202" s="839">
        <v>0.25395308252273302</v>
      </c>
      <c r="AX202" s="833">
        <v>0.25395308252273302</v>
      </c>
      <c r="AY202" s="837"/>
      <c r="AZ202" s="833" t="s">
        <v>452</v>
      </c>
      <c r="BA202" s="833" t="s">
        <v>452</v>
      </c>
    </row>
    <row r="203" spans="1:53">
      <c r="A203" s="764" t="s">
        <v>1129</v>
      </c>
      <c r="B203" s="764" t="s">
        <v>1129</v>
      </c>
      <c r="C203" s="896">
        <v>0.7349291587556539</v>
      </c>
      <c r="D203" s="881">
        <v>2.1443556356265762E-2</v>
      </c>
      <c r="E203" s="881">
        <v>0.71348560239938819</v>
      </c>
      <c r="F203" s="881" t="s">
        <v>452</v>
      </c>
      <c r="G203" s="883"/>
      <c r="H203" s="882" t="s">
        <v>452</v>
      </c>
      <c r="I203" s="881" t="s">
        <v>452</v>
      </c>
      <c r="J203" s="884"/>
      <c r="K203" s="881" t="s">
        <v>452</v>
      </c>
      <c r="L203" s="881" t="s">
        <v>452</v>
      </c>
      <c r="M203" s="885"/>
      <c r="N203" s="885"/>
      <c r="O203" s="882">
        <v>3.3520987971078697</v>
      </c>
      <c r="P203" s="881">
        <v>9.7806596202086371E-2</v>
      </c>
      <c r="Q203" s="881">
        <v>3.2542922009057835</v>
      </c>
      <c r="R203" s="881" t="s">
        <v>452</v>
      </c>
      <c r="S203" s="883"/>
      <c r="T203" s="882" t="s">
        <v>452</v>
      </c>
      <c r="U203" s="881" t="s">
        <v>452</v>
      </c>
      <c r="V203" s="884"/>
      <c r="W203" s="881" t="s">
        <v>452</v>
      </c>
      <c r="X203" s="881" t="s">
        <v>452</v>
      </c>
      <c r="Z203" s="898"/>
      <c r="AA203" s="479" t="s">
        <v>1267</v>
      </c>
      <c r="AC203" s="717"/>
      <c r="AF203" s="839">
        <v>0.7349291587556539</v>
      </c>
      <c r="AG203" s="833">
        <v>2.1443556356265762E-2</v>
      </c>
      <c r="AH203" s="833">
        <v>0.71348560239938819</v>
      </c>
      <c r="AI203" s="833" t="s">
        <v>452</v>
      </c>
      <c r="AJ203" s="832"/>
      <c r="AK203" s="839" t="s">
        <v>452</v>
      </c>
      <c r="AL203" s="833" t="s">
        <v>452</v>
      </c>
      <c r="AM203" s="837"/>
      <c r="AN203" s="833" t="s">
        <v>452</v>
      </c>
      <c r="AO203" s="833" t="s">
        <v>452</v>
      </c>
      <c r="AP203" s="834"/>
      <c r="AQ203" s="834"/>
      <c r="AR203" s="839">
        <v>3.3520987971078697</v>
      </c>
      <c r="AS203" s="833">
        <v>9.7806596202086371E-2</v>
      </c>
      <c r="AT203" s="833">
        <v>3.2542922009057835</v>
      </c>
      <c r="AU203" s="833" t="s">
        <v>452</v>
      </c>
      <c r="AV203" s="832"/>
      <c r="AW203" s="839" t="s">
        <v>452</v>
      </c>
      <c r="AX203" s="833" t="s">
        <v>452</v>
      </c>
      <c r="AY203" s="837"/>
      <c r="AZ203" s="833" t="s">
        <v>452</v>
      </c>
      <c r="BA203" s="833" t="s">
        <v>452</v>
      </c>
    </row>
    <row r="204" spans="1:53">
      <c r="A204" s="764"/>
      <c r="B204" s="764"/>
      <c r="C204" s="896"/>
      <c r="D204" s="881"/>
      <c r="E204" s="881"/>
      <c r="F204" s="881"/>
      <c r="G204" s="883"/>
      <c r="H204" s="882"/>
      <c r="I204" s="881"/>
      <c r="J204" s="884"/>
      <c r="K204" s="881"/>
      <c r="L204" s="881"/>
      <c r="M204" s="885"/>
      <c r="N204" s="885"/>
      <c r="O204" s="882"/>
      <c r="P204" s="881"/>
      <c r="Q204" s="881"/>
      <c r="R204" s="881"/>
      <c r="S204" s="883"/>
      <c r="T204" s="882"/>
      <c r="U204" s="881"/>
      <c r="V204" s="884"/>
      <c r="W204" s="881"/>
      <c r="X204" s="881"/>
      <c r="AC204" s="562"/>
    </row>
    <row r="205" spans="1:53">
      <c r="A205" s="845" t="s">
        <v>1130</v>
      </c>
      <c r="B205" s="845" t="s">
        <v>1130</v>
      </c>
      <c r="C205" s="897">
        <v>9.1548817880607574E-3</v>
      </c>
      <c r="D205" s="897">
        <v>9.1548817880607574E-3</v>
      </c>
      <c r="E205" s="897">
        <v>2.0135370501599904E-2</v>
      </c>
      <c r="F205" s="883">
        <f>SUM(F8:F203)-IF(F10="", 0, F10)</f>
        <v>59.506461589339473</v>
      </c>
      <c r="G205" s="883"/>
      <c r="H205" s="895">
        <f>I205+ K205 + L205</f>
        <v>3.1733343910521454E-2</v>
      </c>
      <c r="I205" s="883">
        <v>9.1548817880607574E-3</v>
      </c>
      <c r="J205" s="883"/>
      <c r="K205" s="883">
        <v>9.1548817880607574E-3</v>
      </c>
      <c r="L205" s="883">
        <v>1.3423580334399937E-2</v>
      </c>
      <c r="M205" s="885"/>
      <c r="N205" s="885"/>
      <c r="O205" s="882" t="s">
        <v>452</v>
      </c>
      <c r="P205" s="881">
        <v>0</v>
      </c>
      <c r="Q205" s="881">
        <v>0</v>
      </c>
      <c r="R205" s="881">
        <v>0.9072428594198122</v>
      </c>
      <c r="S205" s="883"/>
      <c r="T205" s="882">
        <f>U205+W205+X205</f>
        <v>0</v>
      </c>
      <c r="U205" s="881">
        <v>0</v>
      </c>
      <c r="V205" s="884"/>
      <c r="W205" s="881">
        <v>0</v>
      </c>
      <c r="X205" s="881">
        <v>0</v>
      </c>
      <c r="AC205" s="719"/>
    </row>
    <row r="207" spans="1:53" s="383" customFormat="1" ht="3.65" customHeight="1">
      <c r="B207" s="848"/>
      <c r="C207" s="2"/>
      <c r="D207" s="2"/>
      <c r="E207" s="2"/>
      <c r="F207" s="2"/>
      <c r="G207" s="2"/>
      <c r="H207" s="2"/>
      <c r="I207" s="2"/>
      <c r="J207" s="2"/>
      <c r="K207" s="2"/>
      <c r="L207" s="2"/>
      <c r="M207" s="2"/>
      <c r="N207" s="2"/>
      <c r="O207" s="2"/>
      <c r="P207" s="2"/>
      <c r="Q207" s="2"/>
      <c r="R207" s="2"/>
      <c r="S207" s="2"/>
      <c r="T207" s="2"/>
      <c r="U207" s="2"/>
      <c r="V207" s="2"/>
      <c r="W207" s="2"/>
      <c r="X207" s="2"/>
      <c r="AC207" s="560"/>
    </row>
    <row r="208" spans="1:53">
      <c r="B208" s="849" t="s">
        <v>108</v>
      </c>
      <c r="AC208" s="566"/>
    </row>
    <row r="209" spans="2:23" ht="27.65" customHeight="1">
      <c r="B209" s="1245" t="s">
        <v>1462</v>
      </c>
      <c r="C209" s="1245"/>
      <c r="D209" s="1245"/>
      <c r="E209" s="1245"/>
      <c r="F209" s="1245"/>
      <c r="G209" s="1245"/>
      <c r="H209" s="1245"/>
      <c r="I209" s="1245"/>
      <c r="J209" s="1245"/>
      <c r="K209" s="1245"/>
      <c r="L209" s="1245"/>
      <c r="M209" s="1245"/>
      <c r="N209" s="1245"/>
      <c r="O209" s="1245"/>
      <c r="P209" s="1245"/>
      <c r="Q209" s="1245"/>
      <c r="R209" s="1245"/>
      <c r="S209" s="1245"/>
      <c r="T209" s="1245"/>
      <c r="U209" s="1245"/>
      <c r="V209" s="1245"/>
      <c r="W209" s="1245"/>
    </row>
    <row r="210" spans="2:23">
      <c r="B210" s="352" t="s">
        <v>1242</v>
      </c>
    </row>
    <row r="211" spans="2:23">
      <c r="B211" s="352" t="s">
        <v>1298</v>
      </c>
    </row>
    <row r="212" spans="2:23" ht="14.5">
      <c r="B212" s="479" t="s">
        <v>1458</v>
      </c>
    </row>
    <row r="214" spans="2:23">
      <c r="C214" s="888" t="e">
        <f>SUM(C8:C203)-C10</f>
        <v>#VALUE!</v>
      </c>
      <c r="D214" s="888" t="e">
        <f>SUM(D8:D203)-D10</f>
        <v>#VALUE!</v>
      </c>
      <c r="E214" s="888" t="e">
        <f t="shared" ref="E214:K214" si="0">SUM(E8:E203)-E10</f>
        <v>#VALUE!</v>
      </c>
      <c r="F214" s="888">
        <f>SUM(F8:F203)-IF(F10="", 0, F10)</f>
        <v>59.506461589339473</v>
      </c>
      <c r="G214" s="888">
        <f t="shared" si="0"/>
        <v>0</v>
      </c>
      <c r="H214" s="888" t="e">
        <f t="shared" si="0"/>
        <v>#VALUE!</v>
      </c>
      <c r="I214" s="888" t="e">
        <f t="shared" si="0"/>
        <v>#VALUE!</v>
      </c>
      <c r="J214" s="888">
        <f t="shared" si="0"/>
        <v>0</v>
      </c>
      <c r="K214" s="888" t="e">
        <f t="shared" si="0"/>
        <v>#VALUE!</v>
      </c>
      <c r="L214" s="888">
        <f>SUM(L8:L203)</f>
        <v>3.770888497903063</v>
      </c>
    </row>
  </sheetData>
  <mergeCells count="29">
    <mergeCell ref="B3:L3"/>
    <mergeCell ref="N3:X3"/>
    <mergeCell ref="AE3:AO3"/>
    <mergeCell ref="AQ3:BA3"/>
    <mergeCell ref="C4:F4"/>
    <mergeCell ref="H4:L4"/>
    <mergeCell ref="O4:R4"/>
    <mergeCell ref="T4:X4"/>
    <mergeCell ref="AF4:AI4"/>
    <mergeCell ref="AK4:AO4"/>
    <mergeCell ref="AR4:AU4"/>
    <mergeCell ref="AW4:BA4"/>
    <mergeCell ref="AX5:AX6"/>
    <mergeCell ref="AZ5:BA5"/>
    <mergeCell ref="AR5:AT5"/>
    <mergeCell ref="AU5:AU6"/>
    <mergeCell ref="C5:E5"/>
    <mergeCell ref="F5:F6"/>
    <mergeCell ref="I5:I6"/>
    <mergeCell ref="K5:L5"/>
    <mergeCell ref="O5:Q5"/>
    <mergeCell ref="B209:W209"/>
    <mergeCell ref="AF5:AH5"/>
    <mergeCell ref="AI5:AI6"/>
    <mergeCell ref="AL5:AL6"/>
    <mergeCell ref="AN5:AO5"/>
    <mergeCell ref="R5:R6"/>
    <mergeCell ref="U5:U6"/>
    <mergeCell ref="W5:X5"/>
  </mergeCells>
  <pageMargins left="0.7" right="0.7" top="0.75" bottom="0.75" header="0.3" footer="0.3"/>
  <pageSetup scale="65" fitToHeight="0" orientation="landscape" r:id="rId1"/>
  <rowBreaks count="1" manualBreakCount="1">
    <brk id="58" min="1"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0947-D644-4427-91D3-3D4761C0532D}">
  <sheetPr>
    <tabColor theme="0" tint="-0.499984740745262"/>
    <pageSetUpPr fitToPage="1"/>
  </sheetPr>
  <dimension ref="A2:W163"/>
  <sheetViews>
    <sheetView topLeftCell="A23" zoomScaleNormal="100" workbookViewId="0">
      <selection activeCell="J31" sqref="J31:J34"/>
    </sheetView>
  </sheetViews>
  <sheetFormatPr defaultColWidth="9.1796875" defaultRowHeight="14.5"/>
  <cols>
    <col min="1" max="2" width="9.1796875" style="663"/>
    <col min="3" max="3" width="14" style="662" hidden="1" customWidth="1"/>
    <col min="4" max="4" width="2.81640625" style="663" hidden="1" customWidth="1"/>
    <col min="5" max="5" width="2.81640625" style="663" customWidth="1"/>
    <col min="6" max="6" width="6.81640625" style="664" customWidth="1"/>
    <col min="7" max="7" width="41.1796875" style="663" customWidth="1"/>
    <col min="8" max="8" width="3.81640625" style="663" customWidth="1"/>
    <col min="9" max="9" width="2.1796875" style="663" customWidth="1"/>
    <col min="10" max="10" width="41.1796875" style="663" customWidth="1"/>
    <col min="11" max="11" width="4.54296875" style="663" hidden="1" customWidth="1"/>
    <col min="12" max="12" width="1.81640625" style="663" customWidth="1"/>
    <col min="13" max="13" width="2.81640625" style="663" customWidth="1"/>
    <col min="14" max="14" width="6.81640625" style="663" customWidth="1"/>
    <col min="15" max="15" width="41.1796875" style="663" customWidth="1"/>
    <col min="16" max="16" width="0.81640625" style="663" customWidth="1"/>
    <col min="17" max="17" width="1" style="663" customWidth="1"/>
    <col min="18" max="18" width="2.81640625" style="663" customWidth="1"/>
    <col min="19" max="19" width="6.81640625" style="663" customWidth="1"/>
    <col min="20" max="20" width="41.1796875" style="663" customWidth="1"/>
    <col min="21" max="21" width="2.81640625" style="663" customWidth="1"/>
    <col min="22" max="22" width="11" style="663" hidden="1" customWidth="1"/>
    <col min="23" max="23" width="9.1796875" style="665"/>
    <col min="24" max="16384" width="9.1796875" style="663"/>
  </cols>
  <sheetData>
    <row r="2" spans="3:23">
      <c r="F2" s="713" t="s">
        <v>953</v>
      </c>
    </row>
    <row r="3" spans="3:23">
      <c r="E3" s="1345" t="s">
        <v>954</v>
      </c>
      <c r="F3" s="1345"/>
      <c r="G3" s="1345"/>
      <c r="H3" s="1345"/>
      <c r="I3" s="1345"/>
      <c r="J3" s="1345"/>
      <c r="K3" s="666"/>
      <c r="M3" s="1345" t="s">
        <v>589</v>
      </c>
      <c r="N3" s="1345"/>
      <c r="O3" s="1345"/>
      <c r="P3" s="1345"/>
      <c r="Q3" s="1345"/>
      <c r="R3" s="1345"/>
      <c r="S3" s="1345"/>
      <c r="T3" s="1345"/>
      <c r="U3" s="666"/>
      <c r="W3" s="667"/>
    </row>
    <row r="4" spans="3:23" ht="29.5" thickBot="1">
      <c r="C4" s="668" t="s">
        <v>955</v>
      </c>
      <c r="D4" s="668"/>
      <c r="E4" s="662"/>
      <c r="F4" s="669" t="s">
        <v>956</v>
      </c>
      <c r="G4" s="669" t="s">
        <v>957</v>
      </c>
      <c r="H4" s="670"/>
      <c r="I4" s="670"/>
      <c r="J4" s="671" t="s">
        <v>958</v>
      </c>
      <c r="K4" s="670"/>
      <c r="L4" s="672"/>
      <c r="M4" s="672"/>
      <c r="N4" s="669" t="s">
        <v>956</v>
      </c>
      <c r="O4" s="669" t="s">
        <v>959</v>
      </c>
      <c r="P4" s="669"/>
      <c r="Q4" s="669"/>
      <c r="R4" s="669"/>
      <c r="S4" s="669" t="s">
        <v>956</v>
      </c>
      <c r="T4" s="669" t="s">
        <v>960</v>
      </c>
      <c r="U4" s="668"/>
      <c r="W4" s="667"/>
    </row>
    <row r="5" spans="3:23" s="662" customFormat="1" ht="12.75" customHeight="1">
      <c r="C5" s="1348" t="s">
        <v>953</v>
      </c>
      <c r="D5" s="673"/>
      <c r="E5" s="674"/>
      <c r="F5" s="675"/>
      <c r="G5" s="676" t="s">
        <v>961</v>
      </c>
      <c r="H5" s="677"/>
      <c r="I5" s="677"/>
      <c r="J5" s="676" t="s">
        <v>961</v>
      </c>
      <c r="K5" s="678"/>
      <c r="L5" s="678"/>
      <c r="M5" s="679"/>
      <c r="N5" s="679"/>
      <c r="O5" s="679"/>
      <c r="P5" s="678"/>
      <c r="Q5" s="678"/>
      <c r="R5" s="679"/>
      <c r="S5" s="679"/>
      <c r="T5" s="679"/>
      <c r="U5" s="680"/>
      <c r="W5" s="681"/>
    </row>
    <row r="6" spans="3:23" ht="104.25" customHeight="1">
      <c r="C6" s="1349"/>
      <c r="D6" s="682"/>
      <c r="E6" s="683" t="s">
        <v>115</v>
      </c>
      <c r="F6" s="684">
        <v>317</v>
      </c>
      <c r="G6" s="685" t="s">
        <v>1756</v>
      </c>
      <c r="H6" s="686">
        <v>13</v>
      </c>
      <c r="I6" s="686"/>
      <c r="J6" s="685" t="s">
        <v>1757</v>
      </c>
      <c r="K6" s="686">
        <v>93</v>
      </c>
      <c r="L6" s="686"/>
      <c r="M6" s="687" t="s">
        <v>115</v>
      </c>
      <c r="N6" s="684">
        <v>0</v>
      </c>
      <c r="O6" s="685"/>
      <c r="P6" s="686"/>
      <c r="Q6" s="686"/>
      <c r="R6" s="687" t="s">
        <v>115</v>
      </c>
      <c r="S6" s="684">
        <v>56.5</v>
      </c>
      <c r="T6" s="685" t="s">
        <v>1762</v>
      </c>
      <c r="U6" s="688"/>
      <c r="W6" s="667"/>
    </row>
    <row r="7" spans="3:23" ht="46.5" customHeight="1">
      <c r="C7" s="1349"/>
      <c r="D7" s="682"/>
      <c r="E7" s="683" t="s">
        <v>116</v>
      </c>
      <c r="F7" s="684">
        <v>2.9240844940503643</v>
      </c>
      <c r="G7" s="685"/>
      <c r="H7" s="686">
        <v>12</v>
      </c>
      <c r="I7" s="686"/>
      <c r="J7" s="685" t="s">
        <v>1758</v>
      </c>
      <c r="K7" s="686">
        <v>4</v>
      </c>
      <c r="L7" s="686"/>
      <c r="M7" s="687" t="s">
        <v>116</v>
      </c>
      <c r="N7" s="684">
        <v>0</v>
      </c>
      <c r="O7" s="685"/>
      <c r="P7" s="686"/>
      <c r="Q7" s="686"/>
      <c r="R7" s="687" t="s">
        <v>116</v>
      </c>
      <c r="S7" s="684">
        <v>0.52116963379762016</v>
      </c>
      <c r="T7" s="685"/>
      <c r="U7" s="688"/>
      <c r="W7" s="667"/>
    </row>
    <row r="8" spans="3:23" ht="41.5">
      <c r="C8" s="1349"/>
      <c r="D8" s="682"/>
      <c r="E8" s="683" t="s">
        <v>117</v>
      </c>
      <c r="F8" s="684">
        <v>5.4571386517768845</v>
      </c>
      <c r="G8" s="685"/>
      <c r="H8" s="686"/>
      <c r="I8" s="686"/>
      <c r="J8" s="685" t="s">
        <v>1759</v>
      </c>
      <c r="K8" s="686">
        <v>24</v>
      </c>
      <c r="L8" s="686"/>
      <c r="M8" s="687" t="s">
        <v>117</v>
      </c>
      <c r="N8" s="684">
        <v>0</v>
      </c>
      <c r="O8" s="685"/>
      <c r="P8" s="686"/>
      <c r="Q8" s="686"/>
      <c r="R8" s="687" t="s">
        <v>117</v>
      </c>
      <c r="S8" s="684">
        <v>0.97264458619998084</v>
      </c>
      <c r="T8" s="685"/>
      <c r="U8" s="688"/>
      <c r="W8" s="667"/>
    </row>
    <row r="9" spans="3:23">
      <c r="C9" s="1349"/>
      <c r="D9" s="682"/>
      <c r="E9" s="689"/>
      <c r="F9" s="690"/>
      <c r="G9" s="685"/>
      <c r="H9" s="686"/>
      <c r="I9" s="686"/>
      <c r="J9" s="685" t="s">
        <v>1758</v>
      </c>
      <c r="K9" s="686">
        <v>7</v>
      </c>
      <c r="L9" s="686"/>
      <c r="M9" s="691"/>
      <c r="N9" s="690"/>
      <c r="O9" s="685"/>
      <c r="P9" s="686"/>
      <c r="Q9" s="686"/>
      <c r="R9" s="691"/>
      <c r="S9" s="690"/>
      <c r="T9" s="685"/>
      <c r="U9" s="688"/>
      <c r="W9" s="667"/>
    </row>
    <row r="10" spans="3:23" ht="28">
      <c r="C10" s="1349"/>
      <c r="D10" s="682"/>
      <c r="E10" s="689"/>
      <c r="F10" s="690"/>
      <c r="G10" s="685"/>
      <c r="H10" s="686"/>
      <c r="I10" s="686"/>
      <c r="J10" s="685" t="s">
        <v>1760</v>
      </c>
      <c r="K10" s="686">
        <v>70</v>
      </c>
      <c r="L10" s="686"/>
      <c r="M10" s="691"/>
      <c r="N10" s="690"/>
      <c r="O10" s="685"/>
      <c r="P10" s="686"/>
      <c r="Q10" s="686"/>
      <c r="R10" s="691"/>
      <c r="S10" s="690"/>
      <c r="T10" s="685"/>
      <c r="U10" s="688"/>
      <c r="W10" s="667"/>
    </row>
    <row r="11" spans="3:23" ht="56">
      <c r="C11" s="1349"/>
      <c r="D11" s="682"/>
      <c r="E11" s="689"/>
      <c r="F11" s="692"/>
      <c r="G11" s="685"/>
      <c r="H11" s="686"/>
      <c r="I11" s="686"/>
      <c r="J11" s="685" t="s">
        <v>1761</v>
      </c>
      <c r="K11" s="686">
        <v>12</v>
      </c>
      <c r="L11" s="686"/>
      <c r="M11" s="691"/>
      <c r="N11" s="690"/>
      <c r="O11" s="685"/>
      <c r="P11" s="686"/>
      <c r="Q11" s="686"/>
      <c r="R11" s="691"/>
      <c r="S11" s="690"/>
      <c r="T11" s="685"/>
      <c r="U11" s="688"/>
      <c r="W11" s="667"/>
    </row>
    <row r="12" spans="3:23">
      <c r="C12" s="1349"/>
      <c r="D12" s="682"/>
      <c r="E12" s="693"/>
      <c r="F12" s="694"/>
      <c r="G12" s="685"/>
      <c r="H12" s="686"/>
      <c r="I12" s="686"/>
      <c r="J12" s="695"/>
      <c r="K12" s="686"/>
      <c r="L12" s="686"/>
      <c r="M12" s="685"/>
      <c r="N12" s="696"/>
      <c r="O12" s="685"/>
      <c r="P12" s="686"/>
      <c r="Q12" s="686"/>
      <c r="R12" s="685"/>
      <c r="S12" s="696"/>
      <c r="T12" s="685"/>
      <c r="U12" s="688"/>
      <c r="W12" s="667"/>
    </row>
    <row r="13" spans="3:23" ht="16.5" customHeight="1">
      <c r="C13" s="1349"/>
      <c r="D13" s="682"/>
      <c r="E13" s="697"/>
      <c r="F13" s="694"/>
      <c r="G13" s="685"/>
      <c r="H13" s="686"/>
      <c r="I13" s="686"/>
      <c r="J13" s="685"/>
      <c r="K13" s="686"/>
      <c r="L13" s="686"/>
      <c r="M13" s="685"/>
      <c r="N13" s="696"/>
      <c r="O13" s="685"/>
      <c r="P13" s="686"/>
      <c r="Q13" s="686"/>
      <c r="R13" s="685"/>
      <c r="S13" s="696"/>
      <c r="T13" s="685"/>
      <c r="U13" s="688"/>
      <c r="W13" s="667"/>
    </row>
    <row r="14" spans="3:23" ht="9" customHeight="1">
      <c r="C14" s="1349"/>
      <c r="D14" s="682"/>
      <c r="E14" s="697"/>
      <c r="F14" s="694"/>
      <c r="G14" s="685"/>
      <c r="H14" s="686"/>
      <c r="I14" s="686"/>
      <c r="J14" s="685"/>
      <c r="K14" s="686"/>
      <c r="L14" s="686"/>
      <c r="M14" s="685"/>
      <c r="N14" s="696"/>
      <c r="O14" s="685"/>
      <c r="P14" s="686"/>
      <c r="Q14" s="686"/>
      <c r="R14" s="685"/>
      <c r="S14" s="685"/>
      <c r="T14" s="685"/>
      <c r="U14" s="688"/>
      <c r="W14" s="667"/>
    </row>
    <row r="15" spans="3:23" ht="9.75" customHeight="1">
      <c r="C15" s="1349"/>
      <c r="D15" s="682"/>
      <c r="E15" s="697"/>
      <c r="F15" s="694"/>
      <c r="G15" s="685"/>
      <c r="H15" s="686"/>
      <c r="I15" s="686"/>
      <c r="J15" s="685"/>
      <c r="K15" s="686"/>
      <c r="L15" s="686"/>
      <c r="M15" s="685"/>
      <c r="N15" s="685"/>
      <c r="O15" s="685"/>
      <c r="P15" s="686"/>
      <c r="Q15" s="686"/>
      <c r="R15" s="685"/>
      <c r="S15" s="685"/>
      <c r="T15" s="685"/>
      <c r="U15" s="688"/>
      <c r="W15" s="667"/>
    </row>
    <row r="16" spans="3:23" ht="9" customHeight="1" thickBot="1">
      <c r="C16" s="1350"/>
      <c r="D16" s="698"/>
      <c r="E16" s="699"/>
      <c r="F16" s="700"/>
      <c r="G16" s="701"/>
      <c r="H16" s="702"/>
      <c r="I16" s="702"/>
      <c r="J16" s="701"/>
      <c r="K16" s="702"/>
      <c r="L16" s="686"/>
      <c r="M16" s="701"/>
      <c r="N16" s="701"/>
      <c r="O16" s="701"/>
      <c r="P16" s="702"/>
      <c r="Q16" s="702"/>
      <c r="R16" s="701"/>
      <c r="S16" s="701"/>
      <c r="T16" s="701"/>
      <c r="U16" s="703"/>
      <c r="W16" s="667"/>
    </row>
    <row r="17" spans="4:23">
      <c r="D17" s="682"/>
      <c r="E17" s="704"/>
      <c r="F17" s="705"/>
      <c r="G17" s="688"/>
      <c r="H17" s="688"/>
      <c r="I17" s="688"/>
      <c r="J17" s="688"/>
      <c r="K17" s="688"/>
      <c r="L17" s="688"/>
      <c r="M17" s="688"/>
      <c r="N17" s="688"/>
      <c r="O17" s="688"/>
      <c r="P17" s="688"/>
      <c r="Q17" s="688"/>
      <c r="R17" s="688"/>
      <c r="S17" s="688"/>
      <c r="T17" s="688"/>
      <c r="U17" s="688"/>
    </row>
    <row r="18" spans="4:23">
      <c r="D18" s="682"/>
      <c r="E18" s="715" t="s">
        <v>962</v>
      </c>
      <c r="F18" s="714"/>
      <c r="G18" s="688"/>
      <c r="H18" s="688"/>
      <c r="I18" s="688"/>
      <c r="J18" s="688"/>
      <c r="K18" s="688"/>
      <c r="L18" s="688"/>
      <c r="M18" s="688"/>
      <c r="N18" s="688"/>
      <c r="O18" s="688"/>
      <c r="P18" s="688"/>
      <c r="Q18" s="688"/>
      <c r="R18" s="688"/>
      <c r="S18" s="688"/>
      <c r="T18" s="688"/>
      <c r="U18" s="688"/>
    </row>
    <row r="19" spans="4:23">
      <c r="D19" s="682"/>
      <c r="E19" s="1345" t="s">
        <v>954</v>
      </c>
      <c r="F19" s="1345"/>
      <c r="G19" s="1345"/>
      <c r="H19" s="1345"/>
      <c r="I19" s="1345"/>
      <c r="J19" s="1345"/>
      <c r="K19" s="666"/>
      <c r="M19" s="1345" t="s">
        <v>589</v>
      </c>
      <c r="N19" s="1345"/>
      <c r="O19" s="1345"/>
      <c r="P19" s="1345"/>
      <c r="Q19" s="1345"/>
      <c r="R19" s="1345"/>
      <c r="S19" s="1345"/>
      <c r="T19" s="1345"/>
      <c r="U19" s="688"/>
    </row>
    <row r="20" spans="4:23" ht="28.5" thickBot="1">
      <c r="D20" s="682"/>
      <c r="E20" s="662"/>
      <c r="F20" s="669" t="s">
        <v>956</v>
      </c>
      <c r="G20" s="669" t="s">
        <v>957</v>
      </c>
      <c r="H20" s="670"/>
      <c r="I20" s="670"/>
      <c r="J20" s="671" t="s">
        <v>958</v>
      </c>
      <c r="K20" s="670"/>
      <c r="L20" s="672"/>
      <c r="M20" s="672"/>
      <c r="N20" s="669" t="s">
        <v>956</v>
      </c>
      <c r="O20" s="669" t="s">
        <v>959</v>
      </c>
      <c r="P20" s="669"/>
      <c r="Q20" s="669"/>
      <c r="R20" s="669"/>
      <c r="S20" s="669" t="s">
        <v>956</v>
      </c>
      <c r="T20" s="669" t="s">
        <v>960</v>
      </c>
      <c r="U20" s="688"/>
    </row>
    <row r="21" spans="4:23">
      <c r="D21" s="682"/>
      <c r="E21" s="674"/>
      <c r="F21" s="675"/>
      <c r="G21" s="676" t="s">
        <v>961</v>
      </c>
      <c r="H21" s="677"/>
      <c r="I21" s="677"/>
      <c r="J21" s="676" t="s">
        <v>961</v>
      </c>
      <c r="K21" s="678"/>
      <c r="L21" s="678"/>
      <c r="M21" s="679"/>
      <c r="N21" s="679"/>
      <c r="O21" s="679"/>
      <c r="P21" s="678"/>
      <c r="Q21" s="678"/>
      <c r="R21" s="679"/>
      <c r="S21" s="679"/>
      <c r="T21" s="679"/>
      <c r="U21" s="688"/>
      <c r="W21" s="667"/>
    </row>
    <row r="22" spans="4:23" ht="155.25" customHeight="1">
      <c r="D22" s="682"/>
      <c r="E22" s="683" t="s">
        <v>115</v>
      </c>
      <c r="F22" s="684">
        <v>9.1499999999999998E-2</v>
      </c>
      <c r="G22" s="730" t="s">
        <v>1763</v>
      </c>
      <c r="H22" s="686">
        <v>13</v>
      </c>
      <c r="I22" s="686"/>
      <c r="J22" s="1346" t="e">
        <v>#REF!</v>
      </c>
      <c r="K22" s="686">
        <v>93</v>
      </c>
      <c r="L22" s="686"/>
      <c r="M22" s="687" t="s">
        <v>115</v>
      </c>
      <c r="N22" s="684">
        <v>0</v>
      </c>
      <c r="O22" s="685"/>
      <c r="P22" s="686"/>
      <c r="Q22" s="686"/>
      <c r="R22" s="687" t="s">
        <v>115</v>
      </c>
      <c r="S22" s="684">
        <v>0.05</v>
      </c>
      <c r="T22" s="685" t="s">
        <v>1764</v>
      </c>
      <c r="U22" s="688"/>
      <c r="W22" s="667"/>
    </row>
    <row r="23" spans="4:23" ht="155.25" customHeight="1">
      <c r="D23" s="682"/>
      <c r="E23" s="683" t="s">
        <v>116</v>
      </c>
      <c r="F23" s="684">
        <v>9.9273082347835523E-2</v>
      </c>
      <c r="G23" s="730"/>
      <c r="H23" s="686">
        <v>12</v>
      </c>
      <c r="I23" s="686"/>
      <c r="J23" s="1346"/>
      <c r="K23" s="686">
        <v>4</v>
      </c>
      <c r="L23" s="686"/>
      <c r="M23" s="687" t="s">
        <v>116</v>
      </c>
      <c r="N23" s="684">
        <v>0</v>
      </c>
      <c r="O23" s="685"/>
      <c r="P23" s="686"/>
      <c r="Q23" s="686"/>
      <c r="R23" s="687" t="s">
        <v>116</v>
      </c>
      <c r="S23" s="684">
        <v>5.4247585982423789E-2</v>
      </c>
      <c r="T23" s="685"/>
      <c r="U23" s="688"/>
      <c r="W23" s="667"/>
    </row>
    <row r="24" spans="4:23" ht="167.25" customHeight="1">
      <c r="D24" s="682"/>
      <c r="E24" s="683" t="s">
        <v>117</v>
      </c>
      <c r="F24" s="684">
        <v>1.8145573280159526</v>
      </c>
      <c r="G24" s="730"/>
      <c r="H24" s="686"/>
      <c r="I24" s="686"/>
      <c r="J24" s="1346"/>
      <c r="K24" s="686">
        <v>24</v>
      </c>
      <c r="L24" s="686"/>
      <c r="M24" s="687" t="s">
        <v>117</v>
      </c>
      <c r="N24" s="684">
        <v>0</v>
      </c>
      <c r="O24" s="685"/>
      <c r="P24" s="686"/>
      <c r="Q24" s="686"/>
      <c r="R24" s="687" t="s">
        <v>117</v>
      </c>
      <c r="S24" s="684">
        <v>0.99700897308075787</v>
      </c>
      <c r="T24" s="685"/>
      <c r="U24" s="688"/>
      <c r="W24" s="667"/>
    </row>
    <row r="25" spans="4:23" ht="15" thickBot="1">
      <c r="D25" s="682"/>
      <c r="E25" s="699"/>
      <c r="F25" s="700"/>
      <c r="G25" s="731"/>
      <c r="H25" s="702"/>
      <c r="I25" s="702"/>
      <c r="J25" s="701"/>
      <c r="K25" s="702"/>
      <c r="L25" s="686"/>
      <c r="M25" s="701"/>
      <c r="N25" s="701"/>
      <c r="O25" s="701"/>
      <c r="P25" s="702"/>
      <c r="Q25" s="702"/>
      <c r="R25" s="701"/>
      <c r="S25" s="701"/>
      <c r="T25" s="701"/>
      <c r="U25" s="682"/>
      <c r="W25" s="667"/>
    </row>
    <row r="26" spans="4:23">
      <c r="D26" s="682"/>
      <c r="E26" s="704"/>
      <c r="F26" s="705"/>
      <c r="G26" s="682"/>
      <c r="H26" s="682"/>
      <c r="I26" s="682"/>
      <c r="J26" s="682"/>
      <c r="K26" s="682"/>
      <c r="L26" s="682"/>
      <c r="M26" s="682"/>
      <c r="N26" s="682"/>
      <c r="O26" s="682"/>
      <c r="P26" s="682"/>
      <c r="Q26" s="682"/>
      <c r="R26" s="682"/>
      <c r="S26" s="682"/>
      <c r="T26" s="682"/>
      <c r="U26" s="682"/>
    </row>
    <row r="27" spans="4:23">
      <c r="D27" s="682"/>
      <c r="E27" s="715" t="s">
        <v>963</v>
      </c>
      <c r="F27" s="705"/>
      <c r="G27" s="682"/>
      <c r="H27" s="682"/>
      <c r="I27" s="682"/>
      <c r="J27" s="682"/>
      <c r="K27" s="682"/>
      <c r="L27" s="682"/>
      <c r="M27" s="682"/>
      <c r="N27" s="682"/>
      <c r="O27" s="682"/>
      <c r="P27" s="682"/>
      <c r="Q27" s="682"/>
      <c r="R27" s="682"/>
      <c r="S27" s="682"/>
      <c r="T27" s="682"/>
      <c r="U27" s="682"/>
    </row>
    <row r="28" spans="4:23">
      <c r="D28" s="682"/>
      <c r="E28" s="1345" t="s">
        <v>954</v>
      </c>
      <c r="F28" s="1345"/>
      <c r="G28" s="1345"/>
      <c r="H28" s="1345"/>
      <c r="I28" s="1345"/>
      <c r="J28" s="1345"/>
      <c r="K28" s="666"/>
      <c r="M28" s="1345" t="s">
        <v>589</v>
      </c>
      <c r="N28" s="1345"/>
      <c r="O28" s="1345"/>
      <c r="P28" s="1345"/>
      <c r="Q28" s="1345"/>
      <c r="R28" s="1345"/>
      <c r="S28" s="1345"/>
      <c r="T28" s="1345"/>
      <c r="U28" s="682"/>
    </row>
    <row r="29" spans="4:23" ht="28.5" thickBot="1">
      <c r="D29" s="682"/>
      <c r="E29" s="662"/>
      <c r="F29" s="669" t="s">
        <v>956</v>
      </c>
      <c r="G29" s="669" t="s">
        <v>957</v>
      </c>
      <c r="H29" s="670"/>
      <c r="I29" s="670"/>
      <c r="J29" s="671" t="s">
        <v>958</v>
      </c>
      <c r="K29" s="670"/>
      <c r="L29" s="672"/>
      <c r="M29" s="672"/>
      <c r="N29" s="669" t="s">
        <v>956</v>
      </c>
      <c r="O29" s="669" t="s">
        <v>959</v>
      </c>
      <c r="P29" s="669"/>
      <c r="Q29" s="669"/>
      <c r="R29" s="669"/>
      <c r="S29" s="669" t="s">
        <v>956</v>
      </c>
      <c r="T29" s="669" t="s">
        <v>960</v>
      </c>
      <c r="U29" s="682"/>
    </row>
    <row r="30" spans="4:23">
      <c r="D30" s="682"/>
      <c r="E30" s="674"/>
      <c r="F30" s="675"/>
      <c r="G30" s="676" t="s">
        <v>964</v>
      </c>
      <c r="H30" s="677"/>
      <c r="I30" s="677"/>
      <c r="J30" s="676" t="s">
        <v>961</v>
      </c>
      <c r="K30" s="678"/>
      <c r="L30" s="678"/>
      <c r="M30" s="679"/>
      <c r="N30" s="679"/>
      <c r="O30" s="679"/>
      <c r="P30" s="678"/>
      <c r="Q30" s="678"/>
      <c r="R30" s="679"/>
      <c r="S30" s="679"/>
      <c r="T30" s="679"/>
      <c r="U30" s="682"/>
      <c r="W30" s="667"/>
    </row>
    <row r="31" spans="4:23" ht="106.5" customHeight="1">
      <c r="D31" s="682"/>
      <c r="E31" s="683" t="s">
        <v>115</v>
      </c>
      <c r="F31" s="684">
        <v>13.7</v>
      </c>
      <c r="G31" s="1346" t="s">
        <v>1765</v>
      </c>
      <c r="H31" s="686">
        <v>13</v>
      </c>
      <c r="I31" s="686"/>
      <c r="J31" s="1346" t="s">
        <v>1766</v>
      </c>
      <c r="K31" s="686">
        <v>93</v>
      </c>
      <c r="L31" s="686"/>
      <c r="M31" s="687" t="s">
        <v>115</v>
      </c>
      <c r="N31" s="684">
        <v>0</v>
      </c>
      <c r="O31" s="685"/>
      <c r="P31" s="686"/>
      <c r="Q31" s="686"/>
      <c r="R31" s="687" t="s">
        <v>115</v>
      </c>
      <c r="S31" s="684">
        <v>3.9</v>
      </c>
      <c r="T31" s="1346" t="s">
        <v>1767</v>
      </c>
      <c r="U31" s="682"/>
      <c r="W31" s="667"/>
    </row>
    <row r="32" spans="4:23" ht="106.5" customHeight="1">
      <c r="D32" s="682"/>
      <c r="E32" s="683" t="s">
        <v>116</v>
      </c>
      <c r="F32" s="684">
        <v>0.24162257495590828</v>
      </c>
      <c r="G32" s="1346"/>
      <c r="H32" s="686">
        <v>12</v>
      </c>
      <c r="I32" s="686"/>
      <c r="J32" s="1346"/>
      <c r="K32" s="686">
        <v>4</v>
      </c>
      <c r="L32" s="686"/>
      <c r="M32" s="687" t="s">
        <v>116</v>
      </c>
      <c r="N32" s="684" t="e">
        <f>#REF!</f>
        <v>#REF!</v>
      </c>
      <c r="O32" s="685"/>
      <c r="P32" s="686"/>
      <c r="Q32" s="686"/>
      <c r="R32" s="687" t="s">
        <v>116</v>
      </c>
      <c r="S32" s="684">
        <v>6.8783068783068779E-2</v>
      </c>
      <c r="T32" s="1346"/>
      <c r="U32" s="682"/>
      <c r="W32" s="667"/>
    </row>
    <row r="33" spans="1:23" ht="106.5" customHeight="1">
      <c r="D33" s="682"/>
      <c r="E33" s="683" t="s">
        <v>117</v>
      </c>
      <c r="F33" s="684">
        <v>1.8698145062120151</v>
      </c>
      <c r="G33" s="1346"/>
      <c r="H33" s="686"/>
      <c r="I33" s="686"/>
      <c r="J33" s="1346"/>
      <c r="K33" s="686">
        <v>24</v>
      </c>
      <c r="L33" s="686"/>
      <c r="M33" s="687" t="s">
        <v>117</v>
      </c>
      <c r="N33" s="684" t="e">
        <v>#REF!</v>
      </c>
      <c r="O33" s="685"/>
      <c r="P33" s="686"/>
      <c r="Q33" s="686"/>
      <c r="R33" s="687" t="s">
        <v>117</v>
      </c>
      <c r="S33" s="684">
        <v>0.53228296162239841</v>
      </c>
      <c r="T33" s="1346"/>
      <c r="U33" s="682"/>
      <c r="W33" s="667"/>
    </row>
    <row r="34" spans="1:23" ht="15" thickBot="1">
      <c r="D34" s="682"/>
      <c r="E34" s="699"/>
      <c r="F34" s="700"/>
      <c r="G34" s="701"/>
      <c r="H34" s="702"/>
      <c r="I34" s="702"/>
      <c r="J34" s="1351"/>
      <c r="K34" s="702"/>
      <c r="L34" s="686"/>
      <c r="M34" s="701"/>
      <c r="N34" s="701"/>
      <c r="O34" s="701"/>
      <c r="P34" s="702"/>
      <c r="Q34" s="702"/>
      <c r="R34" s="701"/>
      <c r="S34" s="701"/>
      <c r="T34" s="1351"/>
      <c r="U34" s="682"/>
      <c r="W34" s="667"/>
    </row>
    <row r="35" spans="1:23">
      <c r="D35" s="682"/>
      <c r="E35" s="704"/>
      <c r="F35" s="705"/>
      <c r="G35" s="682"/>
      <c r="H35" s="682"/>
      <c r="I35" s="682"/>
      <c r="J35" s="682"/>
      <c r="K35" s="682"/>
      <c r="L35" s="682"/>
      <c r="M35" s="682"/>
      <c r="N35" s="682"/>
      <c r="O35" s="682"/>
      <c r="P35" s="682"/>
      <c r="Q35" s="682"/>
      <c r="R35" s="682"/>
      <c r="S35" s="682"/>
      <c r="T35" s="682"/>
      <c r="U35" s="682"/>
    </row>
    <row r="36" spans="1:23">
      <c r="D36" s="682"/>
      <c r="E36" s="715" t="s">
        <v>965</v>
      </c>
      <c r="F36" s="705"/>
      <c r="G36" s="682"/>
      <c r="H36" s="682"/>
      <c r="I36" s="682"/>
      <c r="J36" s="682"/>
      <c r="K36" s="682"/>
      <c r="L36" s="682"/>
      <c r="M36" s="682"/>
      <c r="N36" s="682"/>
      <c r="O36" s="682"/>
      <c r="P36" s="682"/>
      <c r="Q36" s="682"/>
      <c r="R36" s="682"/>
      <c r="S36" s="682"/>
      <c r="T36" s="682"/>
      <c r="U36" s="682"/>
    </row>
    <row r="37" spans="1:23">
      <c r="D37" s="682"/>
      <c r="E37" s="1345" t="s">
        <v>954</v>
      </c>
      <c r="F37" s="1345"/>
      <c r="G37" s="1345"/>
      <c r="H37" s="1345"/>
      <c r="I37" s="1345"/>
      <c r="J37" s="1345"/>
      <c r="K37" s="666"/>
      <c r="M37" s="1345" t="s">
        <v>589</v>
      </c>
      <c r="N37" s="1345"/>
      <c r="O37" s="1345"/>
      <c r="P37" s="1345"/>
      <c r="Q37" s="1345"/>
      <c r="R37" s="1345"/>
      <c r="S37" s="1345"/>
      <c r="T37" s="1345"/>
      <c r="U37" s="682"/>
      <c r="W37" s="667"/>
    </row>
    <row r="38" spans="1:23" ht="28.5" thickBot="1">
      <c r="D38" s="682"/>
      <c r="E38" s="662"/>
      <c r="F38" s="669" t="s">
        <v>956</v>
      </c>
      <c r="G38" s="669" t="s">
        <v>957</v>
      </c>
      <c r="H38" s="670"/>
      <c r="I38" s="670"/>
      <c r="J38" s="671" t="s">
        <v>958</v>
      </c>
      <c r="K38" s="670"/>
      <c r="L38" s="672"/>
      <c r="M38" s="672"/>
      <c r="N38" s="669" t="s">
        <v>956</v>
      </c>
      <c r="O38" s="669" t="s">
        <v>959</v>
      </c>
      <c r="P38" s="669"/>
      <c r="Q38" s="669"/>
      <c r="R38" s="669"/>
      <c r="S38" s="669" t="s">
        <v>956</v>
      </c>
      <c r="T38" s="669" t="s">
        <v>960</v>
      </c>
      <c r="U38" s="682"/>
      <c r="W38" s="667"/>
    </row>
    <row r="39" spans="1:23">
      <c r="D39" s="682"/>
      <c r="E39" s="674"/>
      <c r="F39" s="675"/>
      <c r="G39" s="676" t="s">
        <v>966</v>
      </c>
      <c r="H39" s="677"/>
      <c r="I39" s="677"/>
      <c r="J39" s="676" t="s">
        <v>961</v>
      </c>
      <c r="K39" s="678"/>
      <c r="L39" s="678"/>
      <c r="M39" s="679"/>
      <c r="N39" s="679"/>
      <c r="O39" s="679"/>
      <c r="P39" s="678"/>
      <c r="Q39" s="678"/>
      <c r="R39" s="679"/>
      <c r="S39" s="679"/>
      <c r="T39" s="679"/>
      <c r="U39" s="682"/>
      <c r="W39" s="667"/>
    </row>
    <row r="40" spans="1:23" ht="106.5" customHeight="1">
      <c r="D40" s="682"/>
      <c r="E40" s="683" t="s">
        <v>115</v>
      </c>
      <c r="F40" s="684">
        <v>1.2486000000000002</v>
      </c>
      <c r="G40" s="685" t="s">
        <v>1768</v>
      </c>
      <c r="H40" s="686">
        <v>13</v>
      </c>
      <c r="I40" s="686"/>
      <c r="J40" s="685" t="s">
        <v>1769</v>
      </c>
      <c r="K40" s="686">
        <v>93</v>
      </c>
      <c r="L40" s="686"/>
      <c r="M40" s="687" t="s">
        <v>115</v>
      </c>
      <c r="N40" s="684">
        <v>0</v>
      </c>
      <c r="O40" s="685"/>
      <c r="P40" s="686"/>
      <c r="Q40" s="686"/>
      <c r="R40" s="687" t="s">
        <v>115</v>
      </c>
      <c r="S40" s="684">
        <v>0.85</v>
      </c>
      <c r="T40" s="1346" t="s">
        <v>1771</v>
      </c>
      <c r="U40" s="682"/>
      <c r="W40" s="667"/>
    </row>
    <row r="41" spans="1:23" ht="230.25" customHeight="1">
      <c r="D41" s="682"/>
      <c r="E41" s="683" t="s">
        <v>116</v>
      </c>
      <c r="F41" s="684">
        <v>0.70028042624789688</v>
      </c>
      <c r="G41" s="685" t="s">
        <v>1770</v>
      </c>
      <c r="H41" s="686">
        <v>12</v>
      </c>
      <c r="I41" s="686"/>
      <c r="J41" s="685" t="e">
        <v>#REF!</v>
      </c>
      <c r="K41" s="686">
        <v>4</v>
      </c>
      <c r="L41" s="686"/>
      <c r="M41" s="687" t="s">
        <v>116</v>
      </c>
      <c r="N41" s="684">
        <v>0</v>
      </c>
      <c r="O41" s="685"/>
      <c r="P41" s="686"/>
      <c r="Q41" s="686"/>
      <c r="R41" s="687" t="s">
        <v>116</v>
      </c>
      <c r="S41" s="684">
        <v>0.47672462142456534</v>
      </c>
      <c r="T41" s="1346"/>
      <c r="U41" s="682"/>
      <c r="W41" s="667" t="s">
        <v>967</v>
      </c>
    </row>
    <row r="42" spans="1:23" ht="41.5">
      <c r="D42" s="682"/>
      <c r="E42" s="683" t="s">
        <v>117</v>
      </c>
      <c r="F42" s="684">
        <v>3.4424195638388797</v>
      </c>
      <c r="G42" s="685"/>
      <c r="H42" s="686"/>
      <c r="I42" s="686"/>
      <c r="J42" s="685"/>
      <c r="K42" s="686">
        <v>24</v>
      </c>
      <c r="L42" s="686"/>
      <c r="M42" s="687" t="s">
        <v>117</v>
      </c>
      <c r="N42" s="684">
        <v>0</v>
      </c>
      <c r="O42" s="685"/>
      <c r="P42" s="686"/>
      <c r="Q42" s="686"/>
      <c r="R42" s="687" t="s">
        <v>117</v>
      </c>
      <c r="S42" s="684">
        <v>2.3434699897990132</v>
      </c>
      <c r="T42" s="685"/>
      <c r="U42" s="682"/>
      <c r="W42" s="667"/>
    </row>
    <row r="43" spans="1:23" ht="10.5" customHeight="1">
      <c r="D43" s="682"/>
      <c r="E43" s="689"/>
      <c r="F43" s="690"/>
      <c r="G43" s="685"/>
      <c r="H43" s="686"/>
      <c r="I43" s="686"/>
      <c r="J43" s="695"/>
      <c r="K43" s="686">
        <v>7</v>
      </c>
      <c r="L43" s="686"/>
      <c r="M43" s="691"/>
      <c r="N43" s="690"/>
      <c r="O43" s="685"/>
      <c r="P43" s="686"/>
      <c r="Q43" s="686"/>
      <c r="R43" s="691"/>
      <c r="S43" s="690"/>
      <c r="T43" s="685"/>
      <c r="U43" s="682"/>
      <c r="W43" s="667"/>
    </row>
    <row r="44" spans="1:23" ht="6.75" customHeight="1">
      <c r="D44" s="682"/>
      <c r="E44" s="689"/>
      <c r="F44" s="690"/>
      <c r="G44" s="685"/>
      <c r="H44" s="686"/>
      <c r="I44" s="686"/>
      <c r="J44" s="685"/>
      <c r="K44" s="686">
        <v>70</v>
      </c>
      <c r="L44" s="686"/>
      <c r="M44" s="691"/>
      <c r="N44" s="690"/>
      <c r="O44" s="685"/>
      <c r="P44" s="686"/>
      <c r="Q44" s="686"/>
      <c r="R44" s="691"/>
      <c r="S44" s="690"/>
      <c r="T44" s="685"/>
      <c r="U44" s="682"/>
      <c r="W44" s="667"/>
    </row>
    <row r="45" spans="1:23" ht="6" customHeight="1" thickBot="1">
      <c r="D45" s="682"/>
      <c r="E45" s="699"/>
      <c r="F45" s="700"/>
      <c r="G45" s="701"/>
      <c r="H45" s="702"/>
      <c r="I45" s="702"/>
      <c r="J45" s="701"/>
      <c r="K45" s="702"/>
      <c r="L45" s="686"/>
      <c r="M45" s="701"/>
      <c r="N45" s="701"/>
      <c r="O45" s="701"/>
      <c r="P45" s="702"/>
      <c r="Q45" s="702"/>
      <c r="R45" s="701"/>
      <c r="S45" s="701"/>
      <c r="T45" s="701"/>
      <c r="U45" s="682"/>
    </row>
    <row r="46" spans="1:23">
      <c r="D46" s="682"/>
      <c r="E46" s="706" t="s">
        <v>968</v>
      </c>
      <c r="F46" s="705"/>
      <c r="G46" s="682"/>
      <c r="H46" s="682"/>
      <c r="I46" s="682"/>
      <c r="J46" s="682"/>
      <c r="K46" s="682"/>
      <c r="L46" s="682"/>
      <c r="M46" s="682"/>
      <c r="N46" s="682"/>
      <c r="O46" s="682"/>
      <c r="P46" s="682"/>
      <c r="Q46" s="682"/>
      <c r="R46" s="682"/>
      <c r="S46" s="682"/>
      <c r="T46" s="682"/>
      <c r="U46" s="682"/>
    </row>
    <row r="47" spans="1:23">
      <c r="A47" s="812" t="s">
        <v>1214</v>
      </c>
      <c r="B47" s="812"/>
      <c r="D47" s="682"/>
      <c r="E47" s="715" t="s">
        <v>41</v>
      </c>
      <c r="F47" s="705"/>
      <c r="G47" s="682"/>
      <c r="H47" s="682"/>
      <c r="I47" s="682"/>
      <c r="J47" s="682"/>
      <c r="K47" s="682"/>
      <c r="L47" s="682"/>
      <c r="M47" s="682"/>
      <c r="N47" s="682"/>
      <c r="O47" s="682"/>
      <c r="P47" s="682"/>
      <c r="Q47" s="682"/>
      <c r="R47" s="682"/>
      <c r="S47" s="682"/>
      <c r="T47" s="682"/>
      <c r="U47" s="682"/>
    </row>
    <row r="48" spans="1:23">
      <c r="D48" s="682"/>
      <c r="E48" s="1345" t="s">
        <v>954</v>
      </c>
      <c r="F48" s="1345"/>
      <c r="G48" s="1345"/>
      <c r="H48" s="1345"/>
      <c r="I48" s="1345"/>
      <c r="J48" s="1345"/>
      <c r="K48" s="666"/>
      <c r="M48" s="1345" t="s">
        <v>589</v>
      </c>
      <c r="N48" s="1345"/>
      <c r="O48" s="1345"/>
      <c r="P48" s="1345"/>
      <c r="Q48" s="1345"/>
      <c r="R48" s="1345"/>
      <c r="S48" s="1345"/>
      <c r="T48" s="1345"/>
      <c r="U48" s="682"/>
    </row>
    <row r="49" spans="4:23" ht="28.5" thickBot="1">
      <c r="D49" s="682"/>
      <c r="E49" s="662"/>
      <c r="F49" s="669" t="s">
        <v>956</v>
      </c>
      <c r="G49" s="669" t="s">
        <v>957</v>
      </c>
      <c r="H49" s="670"/>
      <c r="I49" s="670"/>
      <c r="J49" s="671" t="s">
        <v>958</v>
      </c>
      <c r="K49" s="670"/>
      <c r="L49" s="672"/>
      <c r="M49" s="672"/>
      <c r="N49" s="669" t="s">
        <v>956</v>
      </c>
      <c r="O49" s="669" t="s">
        <v>959</v>
      </c>
      <c r="P49" s="669"/>
      <c r="Q49" s="669"/>
      <c r="R49" s="669"/>
      <c r="S49" s="669" t="s">
        <v>956</v>
      </c>
      <c r="T49" s="669" t="s">
        <v>960</v>
      </c>
      <c r="U49" s="682"/>
    </row>
    <row r="50" spans="4:23">
      <c r="D50" s="682"/>
      <c r="E50" s="674"/>
      <c r="F50" s="675"/>
      <c r="G50" s="676" t="s">
        <v>961</v>
      </c>
      <c r="H50" s="677"/>
      <c r="I50" s="677"/>
      <c r="J50" s="676" t="s">
        <v>961</v>
      </c>
      <c r="K50" s="678"/>
      <c r="L50" s="678"/>
      <c r="M50" s="679"/>
      <c r="N50" s="679"/>
      <c r="O50" s="1347"/>
      <c r="P50" s="678"/>
      <c r="Q50" s="678"/>
      <c r="R50" s="679"/>
      <c r="S50" s="679"/>
      <c r="T50" s="707"/>
      <c r="U50" s="682"/>
      <c r="W50" s="708"/>
    </row>
    <row r="51" spans="4:23" ht="67.5" customHeight="1">
      <c r="D51" s="682"/>
      <c r="E51" s="683" t="s">
        <v>115</v>
      </c>
      <c r="F51" s="684">
        <v>16.081</v>
      </c>
      <c r="G51" s="1346" t="s">
        <v>1772</v>
      </c>
      <c r="H51" s="686">
        <v>13</v>
      </c>
      <c r="I51" s="686"/>
      <c r="J51" s="1346" t="e">
        <v>#REF!</v>
      </c>
      <c r="K51" s="686">
        <v>93</v>
      </c>
      <c r="L51" s="686"/>
      <c r="M51" s="687" t="s">
        <v>115</v>
      </c>
      <c r="N51" s="684">
        <v>0</v>
      </c>
      <c r="O51" s="1346"/>
      <c r="P51" s="686"/>
      <c r="Q51" s="686"/>
      <c r="R51" s="687" t="s">
        <v>115</v>
      </c>
      <c r="S51" s="684">
        <v>26</v>
      </c>
      <c r="T51" s="1346" t="s">
        <v>1773</v>
      </c>
      <c r="U51" s="682"/>
      <c r="W51" s="708"/>
    </row>
    <row r="52" spans="4:23" ht="42.5">
      <c r="D52" s="682"/>
      <c r="E52" s="683" t="s">
        <v>116</v>
      </c>
      <c r="F52" s="684">
        <v>0.14195798022598871</v>
      </c>
      <c r="G52" s="1346"/>
      <c r="H52" s="686">
        <v>12</v>
      </c>
      <c r="I52" s="686"/>
      <c r="J52" s="1346"/>
      <c r="K52" s="686">
        <v>4</v>
      </c>
      <c r="L52" s="686"/>
      <c r="M52" s="687" t="s">
        <v>116</v>
      </c>
      <c r="N52" s="684">
        <v>0</v>
      </c>
      <c r="O52" s="1346"/>
      <c r="P52" s="686"/>
      <c r="Q52" s="686"/>
      <c r="R52" s="687" t="s">
        <v>116</v>
      </c>
      <c r="S52" s="684">
        <v>2.2951977401129944E-4</v>
      </c>
      <c r="T52" s="1346"/>
      <c r="U52" s="682"/>
      <c r="W52" s="708"/>
    </row>
    <row r="53" spans="4:23" ht="41.5">
      <c r="D53" s="682"/>
      <c r="E53" s="683" t="s">
        <v>117</v>
      </c>
      <c r="F53" s="684">
        <v>0.88895055630582198</v>
      </c>
      <c r="G53" s="1346"/>
      <c r="H53" s="686"/>
      <c r="I53" s="686"/>
      <c r="J53" s="1346"/>
      <c r="K53" s="686">
        <v>24</v>
      </c>
      <c r="L53" s="686"/>
      <c r="M53" s="687" t="s">
        <v>117</v>
      </c>
      <c r="N53" s="684">
        <v>0</v>
      </c>
      <c r="O53" s="1346"/>
      <c r="P53" s="686"/>
      <c r="Q53" s="686"/>
      <c r="R53" s="687" t="s">
        <v>117</v>
      </c>
      <c r="S53" s="684">
        <v>1.4372684823052901</v>
      </c>
      <c r="T53" s="1346"/>
      <c r="U53" s="682"/>
      <c r="W53" s="708"/>
    </row>
    <row r="54" spans="4:23">
      <c r="D54" s="682"/>
      <c r="E54" s="689"/>
      <c r="F54" s="690"/>
      <c r="G54" s="1346"/>
      <c r="H54" s="686"/>
      <c r="I54" s="686"/>
      <c r="J54" s="1346"/>
      <c r="K54" s="686">
        <v>7</v>
      </c>
      <c r="L54" s="686"/>
      <c r="M54" s="691"/>
      <c r="N54" s="690"/>
      <c r="O54" s="1346"/>
      <c r="P54" s="686"/>
      <c r="Q54" s="686"/>
      <c r="R54" s="691"/>
      <c r="S54" s="690"/>
      <c r="T54" s="1346"/>
      <c r="U54" s="682"/>
      <c r="W54" s="708"/>
    </row>
    <row r="55" spans="4:23" ht="87">
      <c r="D55" s="682"/>
      <c r="E55" s="689"/>
      <c r="F55" s="690"/>
      <c r="G55" s="1346"/>
      <c r="H55" s="686"/>
      <c r="I55" s="686"/>
      <c r="J55" s="1346"/>
      <c r="K55" s="686">
        <v>70</v>
      </c>
      <c r="L55" s="686"/>
      <c r="M55" s="691"/>
      <c r="N55" s="690"/>
      <c r="O55" s="1346"/>
      <c r="P55" s="686"/>
      <c r="Q55" s="686"/>
      <c r="R55" s="691"/>
      <c r="S55" s="690"/>
      <c r="T55" s="1346"/>
      <c r="U55" s="682"/>
      <c r="W55" s="708" t="s">
        <v>969</v>
      </c>
    </row>
    <row r="56" spans="4:23">
      <c r="D56" s="682"/>
      <c r="E56" s="689"/>
      <c r="F56" s="692"/>
      <c r="G56" s="1346"/>
      <c r="H56" s="686"/>
      <c r="I56" s="686"/>
      <c r="J56" s="1346"/>
      <c r="K56" s="686">
        <v>12</v>
      </c>
      <c r="L56" s="686"/>
      <c r="M56" s="691"/>
      <c r="N56" s="690"/>
      <c r="O56" s="1346"/>
      <c r="P56" s="686"/>
      <c r="Q56" s="686"/>
      <c r="R56" s="691"/>
      <c r="S56" s="690"/>
      <c r="T56" s="1346"/>
      <c r="U56" s="682"/>
      <c r="W56" s="708"/>
    </row>
    <row r="57" spans="4:23" ht="99" customHeight="1">
      <c r="D57" s="682"/>
      <c r="E57" s="697"/>
      <c r="F57" s="694"/>
      <c r="G57" s="1346"/>
      <c r="H57" s="686"/>
      <c r="I57" s="686"/>
      <c r="J57" s="1346"/>
      <c r="K57" s="686"/>
      <c r="L57" s="686"/>
      <c r="M57" s="685"/>
      <c r="N57" s="685"/>
      <c r="O57" s="1346"/>
      <c r="P57" s="686"/>
      <c r="Q57" s="686"/>
      <c r="R57" s="685"/>
      <c r="S57" s="685"/>
      <c r="T57" s="1346"/>
      <c r="U57" s="682"/>
      <c r="W57" s="708"/>
    </row>
    <row r="58" spans="4:23" ht="12.75" customHeight="1">
      <c r="D58" s="682"/>
      <c r="E58" s="697"/>
      <c r="F58" s="694"/>
      <c r="G58" s="685"/>
      <c r="H58" s="686"/>
      <c r="I58" s="686"/>
      <c r="J58" s="695"/>
      <c r="K58" s="686"/>
      <c r="L58" s="686"/>
      <c r="M58" s="685"/>
      <c r="N58" s="685"/>
      <c r="O58" s="685"/>
      <c r="P58" s="686"/>
      <c r="Q58" s="686"/>
      <c r="R58" s="685"/>
      <c r="S58" s="685"/>
      <c r="T58" s="685"/>
      <c r="U58" s="682"/>
      <c r="W58" s="708"/>
    </row>
    <row r="59" spans="4:23" ht="18" customHeight="1" thickBot="1">
      <c r="D59" s="682"/>
      <c r="E59" s="699"/>
      <c r="F59" s="700"/>
      <c r="G59" s="701"/>
      <c r="H59" s="702"/>
      <c r="I59" s="702"/>
      <c r="J59" s="701"/>
      <c r="K59" s="686"/>
      <c r="L59" s="686"/>
      <c r="M59" s="701"/>
      <c r="N59" s="701"/>
      <c r="O59" s="701"/>
      <c r="P59" s="702"/>
      <c r="Q59" s="702"/>
      <c r="R59" s="701"/>
      <c r="S59" s="701"/>
      <c r="T59" s="701"/>
      <c r="U59" s="682"/>
      <c r="W59" s="708"/>
    </row>
    <row r="60" spans="4:23">
      <c r="D60" s="682"/>
      <c r="E60" s="704"/>
      <c r="F60" s="705"/>
      <c r="G60" s="682"/>
      <c r="H60" s="682"/>
      <c r="I60" s="682"/>
      <c r="J60" s="682"/>
      <c r="K60" s="682"/>
      <c r="L60" s="682"/>
      <c r="M60" s="682"/>
      <c r="N60" s="682"/>
      <c r="O60" s="682"/>
      <c r="P60" s="682"/>
      <c r="Q60" s="682"/>
      <c r="R60" s="682"/>
      <c r="S60" s="682"/>
      <c r="T60" s="682"/>
      <c r="U60" s="682"/>
    </row>
    <row r="61" spans="4:23">
      <c r="D61" s="682"/>
      <c r="E61" s="715" t="s">
        <v>970</v>
      </c>
      <c r="F61" s="705"/>
      <c r="G61" s="682"/>
      <c r="H61" s="682"/>
      <c r="I61" s="682"/>
      <c r="J61" s="682"/>
      <c r="K61" s="682"/>
      <c r="L61" s="682"/>
      <c r="M61" s="682"/>
      <c r="N61" s="682"/>
      <c r="O61" s="682"/>
      <c r="P61" s="682"/>
      <c r="Q61" s="682"/>
      <c r="R61" s="682"/>
      <c r="S61" s="682"/>
      <c r="T61" s="682"/>
      <c r="U61" s="682"/>
    </row>
    <row r="62" spans="4:23">
      <c r="D62" s="682"/>
      <c r="E62" s="1345" t="s">
        <v>954</v>
      </c>
      <c r="F62" s="1345"/>
      <c r="G62" s="1345"/>
      <c r="H62" s="1345"/>
      <c r="I62" s="1345"/>
      <c r="J62" s="1345"/>
      <c r="K62" s="666"/>
      <c r="M62" s="1345" t="s">
        <v>589</v>
      </c>
      <c r="N62" s="1345"/>
      <c r="O62" s="1345"/>
      <c r="P62" s="1345"/>
      <c r="Q62" s="1345"/>
      <c r="R62" s="1345"/>
      <c r="S62" s="1345"/>
      <c r="T62" s="1345"/>
      <c r="U62" s="682"/>
    </row>
    <row r="63" spans="4:23" ht="28.5" thickBot="1">
      <c r="D63" s="682"/>
      <c r="E63" s="662"/>
      <c r="F63" s="669" t="s">
        <v>956</v>
      </c>
      <c r="G63" s="669" t="s">
        <v>957</v>
      </c>
      <c r="H63" s="670"/>
      <c r="I63" s="670"/>
      <c r="J63" s="671" t="s">
        <v>958</v>
      </c>
      <c r="K63" s="670"/>
      <c r="L63" s="672"/>
      <c r="M63" s="672"/>
      <c r="N63" s="669" t="s">
        <v>956</v>
      </c>
      <c r="O63" s="669" t="s">
        <v>959</v>
      </c>
      <c r="P63" s="669"/>
      <c r="Q63" s="669"/>
      <c r="R63" s="669"/>
      <c r="S63" s="669" t="s">
        <v>956</v>
      </c>
      <c r="T63" s="669" t="s">
        <v>960</v>
      </c>
      <c r="U63" s="682"/>
    </row>
    <row r="64" spans="4:23">
      <c r="D64" s="682"/>
      <c r="E64" s="674"/>
      <c r="F64" s="675"/>
      <c r="G64" s="676" t="s">
        <v>961</v>
      </c>
      <c r="H64" s="677"/>
      <c r="I64" s="677"/>
      <c r="J64" s="676" t="s">
        <v>961</v>
      </c>
      <c r="K64" s="678"/>
      <c r="L64" s="678"/>
      <c r="M64" s="679"/>
      <c r="N64" s="679"/>
      <c r="O64" s="709"/>
      <c r="P64" s="678"/>
      <c r="Q64" s="678"/>
      <c r="R64" s="679"/>
      <c r="S64" s="679"/>
      <c r="T64" s="707"/>
      <c r="U64" s="682"/>
      <c r="W64" s="710"/>
    </row>
    <row r="65" spans="4:23" ht="42">
      <c r="D65" s="682"/>
      <c r="E65" s="683" t="s">
        <v>115</v>
      </c>
      <c r="F65" s="684">
        <v>0.16315000000000002</v>
      </c>
      <c r="G65" s="1346" t="s">
        <v>1774</v>
      </c>
      <c r="H65" s="686">
        <v>13</v>
      </c>
      <c r="I65" s="686"/>
      <c r="J65" s="1346" t="s">
        <v>1775</v>
      </c>
      <c r="K65" s="686">
        <v>93</v>
      </c>
      <c r="L65" s="686"/>
      <c r="M65" s="687" t="s">
        <v>115</v>
      </c>
      <c r="N65" s="809">
        <v>0.02</v>
      </c>
      <c r="O65" s="711" t="s">
        <v>1193</v>
      </c>
      <c r="P65" s="686"/>
      <c r="Q65" s="686"/>
      <c r="R65" s="687" t="s">
        <v>115</v>
      </c>
      <c r="S65" s="809">
        <v>1.4999999999999999E-2</v>
      </c>
      <c r="T65" s="1346" t="s">
        <v>1776</v>
      </c>
      <c r="U65" s="682"/>
      <c r="W65" s="710"/>
    </row>
    <row r="66" spans="4:23" ht="42.5">
      <c r="D66" s="682"/>
      <c r="E66" s="683" t="s">
        <v>116</v>
      </c>
      <c r="F66" s="684">
        <v>0.1770098730606488</v>
      </c>
      <c r="G66" s="1346"/>
      <c r="H66" s="686">
        <v>12</v>
      </c>
      <c r="I66" s="686"/>
      <c r="J66" s="1346"/>
      <c r="K66" s="686">
        <v>4</v>
      </c>
      <c r="L66" s="686"/>
      <c r="M66" s="687" t="s">
        <v>116</v>
      </c>
      <c r="N66" s="684">
        <v>2.1699034392969514E-2</v>
      </c>
      <c r="O66" s="711"/>
      <c r="P66" s="686"/>
      <c r="Q66" s="686"/>
      <c r="R66" s="687" t="s">
        <v>116</v>
      </c>
      <c r="S66" s="684">
        <v>1.6274275794727136E-2</v>
      </c>
      <c r="T66" s="1346"/>
      <c r="U66" s="682"/>
      <c r="W66" s="710"/>
    </row>
    <row r="67" spans="4:23" ht="41.5">
      <c r="D67" s="682"/>
      <c r="E67" s="683" t="s">
        <v>117</v>
      </c>
      <c r="F67" s="684">
        <v>2.1756234164555273</v>
      </c>
      <c r="G67" s="1346"/>
      <c r="H67" s="686"/>
      <c r="I67" s="686"/>
      <c r="J67" s="1346"/>
      <c r="K67" s="686">
        <v>24</v>
      </c>
      <c r="L67" s="686"/>
      <c r="M67" s="687" t="s">
        <v>117</v>
      </c>
      <c r="N67" s="684">
        <v>0.26670222696359513</v>
      </c>
      <c r="O67" s="711"/>
      <c r="P67" s="686"/>
      <c r="Q67" s="686"/>
      <c r="R67" s="687" t="s">
        <v>117</v>
      </c>
      <c r="S67" s="684">
        <v>0.20002667022269638</v>
      </c>
      <c r="T67" s="1346"/>
      <c r="U67" s="682"/>
      <c r="W67" s="710"/>
    </row>
    <row r="68" spans="4:23">
      <c r="D68" s="682"/>
      <c r="E68" s="689"/>
      <c r="F68" s="690"/>
      <c r="G68" s="1346"/>
      <c r="H68" s="686"/>
      <c r="I68" s="686"/>
      <c r="J68" s="1346"/>
      <c r="K68" s="686">
        <v>7</v>
      </c>
      <c r="L68" s="686"/>
      <c r="M68" s="691"/>
      <c r="N68" s="690"/>
      <c r="O68" s="711"/>
      <c r="P68" s="686"/>
      <c r="Q68" s="686"/>
      <c r="R68" s="691"/>
      <c r="S68" s="690"/>
      <c r="T68" s="1346"/>
      <c r="U68" s="682"/>
      <c r="W68" s="710"/>
    </row>
    <row r="69" spans="4:23">
      <c r="D69" s="682"/>
      <c r="E69" s="689"/>
      <c r="F69" s="690"/>
      <c r="G69" s="1346"/>
      <c r="H69" s="686"/>
      <c r="I69" s="686"/>
      <c r="J69" s="1346"/>
      <c r="K69" s="686">
        <v>70</v>
      </c>
      <c r="L69" s="686"/>
      <c r="M69" s="691"/>
      <c r="N69" s="690"/>
      <c r="O69" s="711"/>
      <c r="P69" s="686"/>
      <c r="Q69" s="686"/>
      <c r="R69" s="691"/>
      <c r="S69" s="690"/>
      <c r="T69" s="1346"/>
      <c r="U69" s="682"/>
      <c r="W69" s="710"/>
    </row>
    <row r="70" spans="4:23">
      <c r="D70" s="682"/>
      <c r="E70" s="689"/>
      <c r="F70" s="692"/>
      <c r="G70" s="1346"/>
      <c r="H70" s="686"/>
      <c r="I70" s="686"/>
      <c r="J70" s="1346"/>
      <c r="K70" s="686">
        <v>12</v>
      </c>
      <c r="L70" s="686"/>
      <c r="M70" s="691"/>
      <c r="N70" s="690"/>
      <c r="O70" s="711"/>
      <c r="P70" s="686"/>
      <c r="Q70" s="686"/>
      <c r="R70" s="691"/>
      <c r="S70" s="690"/>
      <c r="T70" s="1346"/>
      <c r="U70" s="682"/>
      <c r="W70" s="710"/>
    </row>
    <row r="71" spans="4:23" ht="82.5" customHeight="1">
      <c r="D71" s="682"/>
      <c r="E71" s="697"/>
      <c r="F71" s="694"/>
      <c r="G71" s="1346"/>
      <c r="H71" s="686"/>
      <c r="I71" s="686"/>
      <c r="J71" s="1346"/>
      <c r="K71" s="686"/>
      <c r="L71" s="686"/>
      <c r="M71" s="685"/>
      <c r="N71" s="685"/>
      <c r="O71" s="711"/>
      <c r="P71" s="686"/>
      <c r="Q71" s="686"/>
      <c r="R71" s="685"/>
      <c r="S71" s="685"/>
      <c r="T71" s="1346"/>
      <c r="U71" s="682"/>
      <c r="W71" s="710"/>
    </row>
    <row r="72" spans="4:23">
      <c r="D72" s="682"/>
      <c r="E72" s="697"/>
      <c r="F72" s="694"/>
      <c r="G72" s="685"/>
      <c r="H72" s="686"/>
      <c r="I72" s="686"/>
      <c r="J72" s="695" t="s">
        <v>971</v>
      </c>
      <c r="K72" s="686"/>
      <c r="L72" s="686"/>
      <c r="M72" s="685"/>
      <c r="N72" s="685"/>
      <c r="O72" s="685"/>
      <c r="P72" s="686"/>
      <c r="Q72" s="686"/>
      <c r="R72" s="685"/>
      <c r="S72" s="685"/>
      <c r="T72" s="685"/>
      <c r="U72" s="682"/>
      <c r="W72" s="710"/>
    </row>
    <row r="73" spans="4:23" ht="42.5" thickBot="1">
      <c r="D73" s="682"/>
      <c r="E73" s="699"/>
      <c r="F73" s="700"/>
      <c r="G73" s="701"/>
      <c r="H73" s="702"/>
      <c r="I73" s="702"/>
      <c r="J73" s="701" t="s">
        <v>1777</v>
      </c>
      <c r="K73" s="686"/>
      <c r="L73" s="686"/>
      <c r="M73" s="701"/>
      <c r="N73" s="701"/>
      <c r="O73" s="701"/>
      <c r="P73" s="702"/>
      <c r="Q73" s="702"/>
      <c r="R73" s="701"/>
      <c r="S73" s="701"/>
      <c r="T73" s="701"/>
      <c r="U73" s="682"/>
      <c r="W73" s="710"/>
    </row>
    <row r="74" spans="4:23">
      <c r="D74" s="682"/>
      <c r="E74" s="704"/>
      <c r="F74" s="705"/>
      <c r="G74" s="682"/>
      <c r="H74" s="682"/>
      <c r="I74" s="682"/>
      <c r="J74" s="682"/>
      <c r="K74" s="682"/>
      <c r="L74" s="682"/>
      <c r="M74" s="682"/>
      <c r="N74" s="682"/>
      <c r="O74" s="682"/>
      <c r="P74" s="682"/>
      <c r="Q74" s="682"/>
      <c r="R74" s="682"/>
      <c r="S74" s="682"/>
      <c r="T74" s="682"/>
      <c r="U74" s="682"/>
    </row>
    <row r="75" spans="4:23">
      <c r="D75" s="682"/>
      <c r="E75" s="704"/>
      <c r="F75" s="705"/>
      <c r="G75" s="682"/>
      <c r="H75" s="682"/>
      <c r="I75" s="682"/>
      <c r="J75" s="682"/>
      <c r="K75" s="682"/>
      <c r="L75" s="682"/>
      <c r="M75" s="682"/>
      <c r="N75" s="682"/>
      <c r="O75" s="682"/>
      <c r="P75" s="682"/>
      <c r="Q75" s="682"/>
      <c r="R75" s="682"/>
      <c r="S75" s="682"/>
      <c r="T75" s="682"/>
      <c r="U75" s="682"/>
    </row>
    <row r="76" spans="4:23">
      <c r="D76" s="682"/>
      <c r="E76" s="704"/>
      <c r="F76" s="705"/>
      <c r="G76" s="682"/>
      <c r="H76" s="682"/>
      <c r="I76" s="682"/>
      <c r="J76" s="682"/>
      <c r="K76" s="682"/>
      <c r="L76" s="682"/>
      <c r="M76" s="682"/>
      <c r="N76" s="682"/>
      <c r="O76" s="682"/>
      <c r="P76" s="682"/>
      <c r="Q76" s="682"/>
      <c r="R76" s="682"/>
      <c r="S76" s="682"/>
      <c r="T76" s="682"/>
      <c r="U76" s="682"/>
    </row>
    <row r="77" spans="4:23">
      <c r="D77" s="682"/>
      <c r="E77" s="704"/>
      <c r="F77" s="705"/>
      <c r="G77" s="682"/>
      <c r="H77" s="682"/>
      <c r="I77" s="682"/>
      <c r="J77" s="682"/>
      <c r="K77" s="682"/>
      <c r="L77" s="682"/>
      <c r="M77" s="682"/>
      <c r="N77" s="682"/>
      <c r="O77" s="682"/>
      <c r="P77" s="682"/>
      <c r="Q77" s="682"/>
      <c r="R77" s="682"/>
      <c r="S77" s="682"/>
      <c r="T77" s="682"/>
      <c r="U77" s="682"/>
    </row>
    <row r="78" spans="4:23">
      <c r="D78" s="682"/>
      <c r="E78" s="704"/>
      <c r="F78" s="705"/>
      <c r="G78" s="682"/>
      <c r="H78" s="682"/>
      <c r="I78" s="682"/>
      <c r="J78" s="682"/>
      <c r="K78" s="682"/>
      <c r="L78" s="682"/>
      <c r="M78" s="682"/>
      <c r="N78" s="682"/>
      <c r="O78" s="682"/>
      <c r="P78" s="682"/>
      <c r="Q78" s="682"/>
      <c r="R78" s="682"/>
      <c r="S78" s="682"/>
      <c r="T78" s="682"/>
      <c r="U78" s="682"/>
    </row>
    <row r="79" spans="4:23">
      <c r="D79" s="682"/>
      <c r="E79" s="704"/>
      <c r="F79" s="705"/>
      <c r="G79" s="682"/>
      <c r="H79" s="682"/>
      <c r="I79" s="682"/>
      <c r="J79" s="682"/>
      <c r="K79" s="682"/>
      <c r="L79" s="682"/>
      <c r="M79" s="682"/>
      <c r="N79" s="682"/>
      <c r="O79" s="682"/>
      <c r="P79" s="682"/>
      <c r="Q79" s="682"/>
      <c r="R79" s="682"/>
      <c r="S79" s="682"/>
      <c r="T79" s="682"/>
      <c r="U79" s="682"/>
    </row>
    <row r="80" spans="4:23">
      <c r="D80" s="682"/>
      <c r="E80" s="704"/>
      <c r="F80" s="705"/>
      <c r="G80" s="682"/>
      <c r="H80" s="682"/>
      <c r="I80" s="682"/>
      <c r="J80" s="682"/>
      <c r="K80" s="682"/>
      <c r="L80" s="682"/>
      <c r="M80" s="682"/>
      <c r="N80" s="682"/>
      <c r="O80" s="682"/>
      <c r="P80" s="682"/>
      <c r="Q80" s="682"/>
      <c r="R80" s="682"/>
      <c r="S80" s="682"/>
      <c r="T80" s="682"/>
      <c r="U80" s="682"/>
    </row>
    <row r="81" spans="4:21">
      <c r="D81" s="682"/>
      <c r="E81" s="704"/>
      <c r="F81" s="705"/>
      <c r="G81" s="682"/>
      <c r="H81" s="682"/>
      <c r="I81" s="682"/>
      <c r="J81" s="682"/>
      <c r="K81" s="682"/>
      <c r="L81" s="682"/>
      <c r="M81" s="682"/>
      <c r="N81" s="682"/>
      <c r="O81" s="682"/>
      <c r="P81" s="682"/>
      <c r="Q81" s="682"/>
      <c r="R81" s="682"/>
      <c r="S81" s="682"/>
      <c r="T81" s="682"/>
      <c r="U81" s="682"/>
    </row>
    <row r="82" spans="4:21">
      <c r="D82" s="682"/>
      <c r="E82" s="704"/>
      <c r="F82" s="705"/>
      <c r="G82" s="682"/>
      <c r="H82" s="682"/>
      <c r="I82" s="682"/>
      <c r="J82" s="682"/>
      <c r="K82" s="682"/>
      <c r="L82" s="682"/>
      <c r="M82" s="682"/>
      <c r="N82" s="682"/>
      <c r="O82" s="682"/>
      <c r="P82" s="682"/>
      <c r="Q82" s="682"/>
      <c r="R82" s="682"/>
      <c r="S82" s="682"/>
      <c r="T82" s="682"/>
      <c r="U82" s="682"/>
    </row>
    <row r="83" spans="4:21">
      <c r="D83" s="682"/>
      <c r="E83" s="704"/>
      <c r="F83" s="705"/>
      <c r="G83" s="682"/>
      <c r="H83" s="682"/>
      <c r="I83" s="682"/>
      <c r="J83" s="682"/>
      <c r="K83" s="682"/>
      <c r="L83" s="682"/>
      <c r="M83" s="682"/>
      <c r="N83" s="682"/>
      <c r="O83" s="682"/>
      <c r="P83" s="682"/>
      <c r="Q83" s="682"/>
      <c r="R83" s="682"/>
      <c r="S83" s="682"/>
      <c r="T83" s="682"/>
      <c r="U83" s="682"/>
    </row>
    <row r="84" spans="4:21">
      <c r="D84" s="682"/>
      <c r="E84" s="704"/>
      <c r="F84" s="705"/>
      <c r="G84" s="682"/>
      <c r="H84" s="682"/>
      <c r="I84" s="682"/>
      <c r="J84" s="682"/>
      <c r="K84" s="682"/>
      <c r="L84" s="682"/>
      <c r="M84" s="682"/>
      <c r="N84" s="682"/>
      <c r="O84" s="682"/>
      <c r="P84" s="682"/>
      <c r="Q84" s="682"/>
      <c r="R84" s="682"/>
      <c r="S84" s="682"/>
      <c r="T84" s="682"/>
      <c r="U84" s="682"/>
    </row>
    <row r="85" spans="4:21">
      <c r="D85" s="682"/>
      <c r="E85" s="704"/>
      <c r="F85" s="705"/>
      <c r="G85" s="682"/>
      <c r="H85" s="682"/>
      <c r="I85" s="682"/>
      <c r="J85" s="682"/>
      <c r="K85" s="682"/>
      <c r="L85" s="682"/>
      <c r="M85" s="682"/>
      <c r="N85" s="682"/>
      <c r="O85" s="682"/>
      <c r="P85" s="682"/>
      <c r="Q85" s="682"/>
      <c r="R85" s="682"/>
      <c r="S85" s="682"/>
      <c r="T85" s="682"/>
      <c r="U85" s="682"/>
    </row>
    <row r="86" spans="4:21">
      <c r="D86" s="682"/>
      <c r="E86" s="704"/>
      <c r="F86" s="705"/>
      <c r="G86" s="682"/>
      <c r="H86" s="682"/>
      <c r="I86" s="682"/>
      <c r="J86" s="682"/>
      <c r="K86" s="682"/>
      <c r="L86" s="682"/>
      <c r="M86" s="682"/>
      <c r="N86" s="682"/>
      <c r="O86" s="682"/>
      <c r="P86" s="682"/>
      <c r="Q86" s="682"/>
      <c r="R86" s="682"/>
      <c r="S86" s="682"/>
      <c r="T86" s="682"/>
      <c r="U86" s="682"/>
    </row>
    <row r="87" spans="4:21">
      <c r="D87" s="682"/>
      <c r="E87" s="704"/>
      <c r="F87" s="705"/>
      <c r="G87" s="682"/>
      <c r="H87" s="682"/>
      <c r="I87" s="682"/>
      <c r="J87" s="682"/>
      <c r="K87" s="682"/>
      <c r="L87" s="682"/>
      <c r="M87" s="682"/>
      <c r="N87" s="682"/>
      <c r="O87" s="682"/>
      <c r="P87" s="682"/>
      <c r="Q87" s="682"/>
      <c r="R87" s="682"/>
      <c r="S87" s="682"/>
      <c r="T87" s="682"/>
      <c r="U87" s="682"/>
    </row>
    <row r="88" spans="4:21">
      <c r="D88" s="682"/>
      <c r="E88" s="704"/>
      <c r="F88" s="705"/>
      <c r="G88" s="682"/>
      <c r="H88" s="682"/>
      <c r="I88" s="682"/>
      <c r="J88" s="682"/>
      <c r="K88" s="682"/>
      <c r="L88" s="682"/>
      <c r="M88" s="682"/>
      <c r="N88" s="682"/>
      <c r="O88" s="682"/>
      <c r="P88" s="682"/>
      <c r="Q88" s="682"/>
      <c r="R88" s="682"/>
      <c r="S88" s="682"/>
      <c r="T88" s="682"/>
      <c r="U88" s="682"/>
    </row>
    <row r="89" spans="4:21">
      <c r="D89" s="682"/>
      <c r="E89" s="704"/>
      <c r="F89" s="705"/>
      <c r="G89" s="682"/>
      <c r="H89" s="682"/>
      <c r="I89" s="682"/>
      <c r="J89" s="682"/>
      <c r="K89" s="682"/>
      <c r="L89" s="682"/>
      <c r="M89" s="682"/>
      <c r="N89" s="682"/>
      <c r="O89" s="682"/>
      <c r="P89" s="682"/>
      <c r="Q89" s="682"/>
      <c r="R89" s="682"/>
      <c r="S89" s="682"/>
      <c r="T89" s="682"/>
      <c r="U89" s="682"/>
    </row>
    <row r="90" spans="4:21">
      <c r="D90" s="682"/>
      <c r="E90" s="704"/>
      <c r="F90" s="705"/>
      <c r="G90" s="682"/>
      <c r="H90" s="682"/>
      <c r="I90" s="682"/>
      <c r="J90" s="682"/>
      <c r="K90" s="682"/>
      <c r="L90" s="682"/>
      <c r="M90" s="682"/>
      <c r="N90" s="682"/>
      <c r="O90" s="682"/>
      <c r="P90" s="682"/>
      <c r="Q90" s="682"/>
      <c r="R90" s="682"/>
      <c r="S90" s="682"/>
      <c r="T90" s="682"/>
      <c r="U90" s="682"/>
    </row>
    <row r="91" spans="4:21">
      <c r="D91" s="682"/>
      <c r="E91" s="704"/>
      <c r="F91" s="705"/>
      <c r="G91" s="682"/>
      <c r="H91" s="682"/>
      <c r="I91" s="682"/>
      <c r="J91" s="682"/>
      <c r="K91" s="682"/>
      <c r="L91" s="682"/>
      <c r="M91" s="682"/>
      <c r="N91" s="682"/>
      <c r="O91" s="682"/>
      <c r="P91" s="682"/>
      <c r="Q91" s="682"/>
      <c r="R91" s="682"/>
      <c r="S91" s="682"/>
      <c r="T91" s="682"/>
      <c r="U91" s="682"/>
    </row>
    <row r="92" spans="4:21">
      <c r="D92" s="682"/>
      <c r="E92" s="704"/>
      <c r="F92" s="705"/>
      <c r="G92" s="682"/>
      <c r="H92" s="682"/>
      <c r="I92" s="682"/>
      <c r="J92" s="682"/>
      <c r="K92" s="682"/>
      <c r="L92" s="682"/>
      <c r="M92" s="682"/>
      <c r="N92" s="682"/>
      <c r="O92" s="682"/>
      <c r="P92" s="682"/>
      <c r="Q92" s="682"/>
      <c r="R92" s="682"/>
      <c r="S92" s="682"/>
      <c r="T92" s="682"/>
      <c r="U92" s="682"/>
    </row>
    <row r="93" spans="4:21">
      <c r="D93" s="682"/>
      <c r="E93" s="704"/>
      <c r="F93" s="705"/>
      <c r="G93" s="682"/>
      <c r="H93" s="682"/>
      <c r="I93" s="682"/>
      <c r="J93" s="682"/>
      <c r="K93" s="682"/>
      <c r="L93" s="682"/>
      <c r="M93" s="682"/>
      <c r="N93" s="682"/>
      <c r="O93" s="682"/>
      <c r="P93" s="682"/>
      <c r="Q93" s="682"/>
      <c r="R93" s="682"/>
      <c r="S93" s="682"/>
      <c r="T93" s="682"/>
      <c r="U93" s="682"/>
    </row>
    <row r="94" spans="4:21">
      <c r="D94" s="682"/>
      <c r="E94" s="704"/>
      <c r="F94" s="705"/>
      <c r="G94" s="682"/>
      <c r="H94" s="682"/>
      <c r="I94" s="682"/>
      <c r="J94" s="682"/>
      <c r="K94" s="682"/>
      <c r="L94" s="682"/>
      <c r="M94" s="682"/>
      <c r="N94" s="682"/>
      <c r="O94" s="682"/>
      <c r="P94" s="682"/>
      <c r="Q94" s="682"/>
      <c r="R94" s="682"/>
      <c r="S94" s="682"/>
      <c r="T94" s="682"/>
      <c r="U94" s="682"/>
    </row>
    <row r="95" spans="4:21">
      <c r="D95" s="682"/>
      <c r="E95" s="704"/>
      <c r="F95" s="705"/>
      <c r="G95" s="682"/>
      <c r="H95" s="682"/>
      <c r="I95" s="682"/>
      <c r="J95" s="682"/>
      <c r="K95" s="682"/>
      <c r="L95" s="682"/>
      <c r="M95" s="682"/>
      <c r="N95" s="682"/>
      <c r="O95" s="682"/>
      <c r="P95" s="682"/>
      <c r="Q95" s="682"/>
      <c r="R95" s="682"/>
      <c r="S95" s="682"/>
      <c r="T95" s="682"/>
      <c r="U95" s="682"/>
    </row>
    <row r="96" spans="4:21">
      <c r="D96" s="682"/>
      <c r="E96" s="704"/>
      <c r="F96" s="705"/>
      <c r="G96" s="682"/>
      <c r="H96" s="682"/>
      <c r="I96" s="682"/>
      <c r="J96" s="682"/>
      <c r="K96" s="682"/>
      <c r="L96" s="682"/>
      <c r="M96" s="682"/>
      <c r="N96" s="682"/>
      <c r="O96" s="682"/>
      <c r="P96" s="682"/>
      <c r="Q96" s="682"/>
      <c r="R96" s="682"/>
      <c r="S96" s="682"/>
      <c r="T96" s="682"/>
      <c r="U96" s="682"/>
    </row>
    <row r="97" spans="4:21">
      <c r="D97" s="682"/>
      <c r="E97" s="704"/>
      <c r="F97" s="705"/>
      <c r="G97" s="682"/>
      <c r="H97" s="682"/>
      <c r="I97" s="682"/>
      <c r="J97" s="682"/>
      <c r="K97" s="682"/>
      <c r="L97" s="682"/>
      <c r="M97" s="682"/>
      <c r="N97" s="682"/>
      <c r="O97" s="682"/>
      <c r="P97" s="682"/>
      <c r="Q97" s="682"/>
      <c r="R97" s="682"/>
      <c r="S97" s="682"/>
      <c r="T97" s="682"/>
      <c r="U97" s="682"/>
    </row>
    <row r="98" spans="4:21">
      <c r="D98" s="682"/>
      <c r="E98" s="704"/>
      <c r="F98" s="705"/>
      <c r="G98" s="682"/>
      <c r="H98" s="682"/>
      <c r="I98" s="682"/>
      <c r="J98" s="682"/>
      <c r="K98" s="682"/>
      <c r="L98" s="682"/>
      <c r="M98" s="682"/>
      <c r="N98" s="682"/>
      <c r="O98" s="682"/>
      <c r="P98" s="682"/>
      <c r="Q98" s="682"/>
      <c r="R98" s="682"/>
      <c r="S98" s="682"/>
      <c r="T98" s="682"/>
      <c r="U98" s="682"/>
    </row>
    <row r="99" spans="4:21">
      <c r="D99" s="682"/>
      <c r="E99" s="704"/>
      <c r="F99" s="705"/>
      <c r="G99" s="682"/>
      <c r="H99" s="682"/>
      <c r="I99" s="682"/>
      <c r="J99" s="682"/>
      <c r="K99" s="682"/>
      <c r="L99" s="682"/>
      <c r="M99" s="682"/>
      <c r="N99" s="682"/>
      <c r="O99" s="682"/>
      <c r="P99" s="682"/>
      <c r="Q99" s="682"/>
      <c r="R99" s="682"/>
      <c r="S99" s="682"/>
      <c r="T99" s="682"/>
      <c r="U99" s="682"/>
    </row>
    <row r="100" spans="4:21">
      <c r="D100" s="682"/>
      <c r="E100" s="704"/>
      <c r="F100" s="705"/>
      <c r="G100" s="682"/>
      <c r="H100" s="682"/>
      <c r="I100" s="682"/>
      <c r="J100" s="682"/>
      <c r="K100" s="682"/>
      <c r="L100" s="682"/>
      <c r="M100" s="682"/>
      <c r="N100" s="682"/>
      <c r="O100" s="682"/>
      <c r="P100" s="682"/>
      <c r="Q100" s="682"/>
      <c r="R100" s="682"/>
      <c r="S100" s="682"/>
      <c r="T100" s="682"/>
      <c r="U100" s="682"/>
    </row>
    <row r="101" spans="4:21">
      <c r="D101" s="682"/>
      <c r="E101" s="704"/>
      <c r="F101" s="705"/>
      <c r="G101" s="682"/>
      <c r="H101" s="682"/>
      <c r="I101" s="682"/>
      <c r="J101" s="682"/>
      <c r="K101" s="682"/>
      <c r="L101" s="682"/>
      <c r="M101" s="682"/>
      <c r="N101" s="682"/>
      <c r="O101" s="682"/>
      <c r="P101" s="682"/>
      <c r="Q101" s="682"/>
      <c r="R101" s="682"/>
      <c r="S101" s="682"/>
      <c r="T101" s="682"/>
      <c r="U101" s="682"/>
    </row>
    <row r="102" spans="4:21">
      <c r="D102" s="682"/>
      <c r="E102" s="704"/>
      <c r="F102" s="705"/>
      <c r="G102" s="682"/>
      <c r="H102" s="682"/>
      <c r="I102" s="682"/>
      <c r="J102" s="682"/>
      <c r="K102" s="682"/>
      <c r="L102" s="682"/>
      <c r="M102" s="682"/>
      <c r="N102" s="682"/>
      <c r="O102" s="682"/>
      <c r="P102" s="682"/>
      <c r="Q102" s="682"/>
      <c r="R102" s="682"/>
      <c r="S102" s="682"/>
      <c r="T102" s="682"/>
      <c r="U102" s="682"/>
    </row>
    <row r="103" spans="4:21">
      <c r="D103" s="682"/>
      <c r="E103" s="704"/>
      <c r="F103" s="705"/>
      <c r="G103" s="682"/>
      <c r="H103" s="682"/>
      <c r="I103" s="682"/>
      <c r="J103" s="682"/>
      <c r="K103" s="682"/>
      <c r="L103" s="682"/>
      <c r="M103" s="682"/>
      <c r="N103" s="682"/>
      <c r="O103" s="682"/>
      <c r="P103" s="682"/>
      <c r="Q103" s="682"/>
      <c r="R103" s="682"/>
      <c r="S103" s="682"/>
      <c r="T103" s="682"/>
      <c r="U103" s="682"/>
    </row>
    <row r="104" spans="4:21">
      <c r="D104" s="682"/>
      <c r="E104" s="704"/>
      <c r="F104" s="705"/>
      <c r="G104" s="682"/>
      <c r="H104" s="682"/>
      <c r="I104" s="682"/>
      <c r="J104" s="682"/>
      <c r="K104" s="682"/>
      <c r="L104" s="682"/>
      <c r="M104" s="682"/>
      <c r="N104" s="682"/>
      <c r="O104" s="682"/>
      <c r="P104" s="682"/>
      <c r="Q104" s="682"/>
      <c r="R104" s="682"/>
      <c r="S104" s="682"/>
      <c r="T104" s="682"/>
      <c r="U104" s="682"/>
    </row>
    <row r="105" spans="4:21">
      <c r="D105" s="682"/>
      <c r="E105" s="704"/>
      <c r="F105" s="705"/>
      <c r="G105" s="682"/>
      <c r="H105" s="682"/>
      <c r="I105" s="682"/>
      <c r="J105" s="682"/>
      <c r="K105" s="682"/>
      <c r="L105" s="682"/>
      <c r="M105" s="682"/>
      <c r="N105" s="682"/>
      <c r="O105" s="682"/>
      <c r="P105" s="682"/>
      <c r="Q105" s="682"/>
      <c r="R105" s="682"/>
      <c r="S105" s="682"/>
      <c r="T105" s="682"/>
      <c r="U105" s="682"/>
    </row>
    <row r="106" spans="4:21">
      <c r="D106" s="682"/>
      <c r="E106" s="704"/>
      <c r="F106" s="705"/>
      <c r="G106" s="682"/>
      <c r="H106" s="682"/>
      <c r="I106" s="682"/>
      <c r="J106" s="682"/>
      <c r="K106" s="682"/>
      <c r="L106" s="682"/>
      <c r="M106" s="682"/>
      <c r="N106" s="682"/>
      <c r="O106" s="682"/>
      <c r="P106" s="682"/>
      <c r="Q106" s="682"/>
      <c r="R106" s="682"/>
      <c r="S106" s="682"/>
      <c r="T106" s="682"/>
      <c r="U106" s="682"/>
    </row>
    <row r="107" spans="4:21">
      <c r="D107" s="682"/>
      <c r="E107" s="704"/>
      <c r="F107" s="705"/>
      <c r="G107" s="682"/>
      <c r="H107" s="682"/>
      <c r="I107" s="682"/>
      <c r="J107" s="682"/>
      <c r="K107" s="682"/>
      <c r="L107" s="682"/>
      <c r="M107" s="682"/>
      <c r="N107" s="682"/>
      <c r="O107" s="682"/>
      <c r="P107" s="682"/>
      <c r="Q107" s="682"/>
      <c r="R107" s="682"/>
      <c r="S107" s="682"/>
      <c r="T107" s="682"/>
      <c r="U107" s="682"/>
    </row>
    <row r="108" spans="4:21">
      <c r="D108" s="682"/>
      <c r="E108" s="704"/>
      <c r="F108" s="705"/>
      <c r="G108" s="682"/>
      <c r="H108" s="682"/>
      <c r="I108" s="682"/>
      <c r="J108" s="682"/>
      <c r="K108" s="682"/>
      <c r="L108" s="682"/>
      <c r="M108" s="682"/>
      <c r="N108" s="682"/>
      <c r="O108" s="682"/>
      <c r="P108" s="682"/>
      <c r="Q108" s="682"/>
      <c r="R108" s="682"/>
      <c r="S108" s="682"/>
      <c r="T108" s="682"/>
      <c r="U108" s="682"/>
    </row>
    <row r="109" spans="4:21">
      <c r="D109" s="682"/>
      <c r="E109" s="704"/>
      <c r="F109" s="705"/>
      <c r="G109" s="682"/>
      <c r="H109" s="682"/>
      <c r="I109" s="682"/>
      <c r="J109" s="682"/>
      <c r="K109" s="682"/>
      <c r="L109" s="682"/>
      <c r="M109" s="682"/>
      <c r="N109" s="682"/>
      <c r="O109" s="682"/>
      <c r="P109" s="682"/>
      <c r="Q109" s="682"/>
      <c r="R109" s="682"/>
      <c r="S109" s="682"/>
      <c r="T109" s="682"/>
      <c r="U109" s="682"/>
    </row>
    <row r="110" spans="4:21">
      <c r="D110" s="682"/>
      <c r="E110" s="704"/>
      <c r="F110" s="705"/>
      <c r="G110" s="682"/>
      <c r="H110" s="682"/>
      <c r="I110" s="682"/>
      <c r="J110" s="682"/>
      <c r="K110" s="682"/>
      <c r="L110" s="682"/>
      <c r="M110" s="682"/>
      <c r="N110" s="682"/>
      <c r="O110" s="682"/>
      <c r="P110" s="682"/>
      <c r="Q110" s="682"/>
      <c r="R110" s="682"/>
      <c r="S110" s="682"/>
      <c r="T110" s="682"/>
      <c r="U110" s="682"/>
    </row>
    <row r="111" spans="4:21">
      <c r="D111" s="682"/>
      <c r="E111" s="704"/>
      <c r="F111" s="705"/>
      <c r="G111" s="682"/>
      <c r="H111" s="682"/>
      <c r="I111" s="682"/>
      <c r="J111" s="682"/>
      <c r="K111" s="682"/>
      <c r="L111" s="682"/>
      <c r="M111" s="682"/>
      <c r="N111" s="682"/>
      <c r="O111" s="682"/>
      <c r="P111" s="682"/>
      <c r="Q111" s="682"/>
      <c r="R111" s="682"/>
      <c r="S111" s="682"/>
      <c r="T111" s="682"/>
      <c r="U111" s="682"/>
    </row>
    <row r="112" spans="4:21">
      <c r="D112" s="682"/>
      <c r="E112" s="704"/>
      <c r="F112" s="705"/>
      <c r="G112" s="682"/>
      <c r="H112" s="682"/>
      <c r="I112" s="682"/>
      <c r="J112" s="682"/>
      <c r="K112" s="682"/>
      <c r="L112" s="682"/>
      <c r="M112" s="682"/>
      <c r="N112" s="682"/>
      <c r="O112" s="682"/>
      <c r="P112" s="682"/>
      <c r="Q112" s="682"/>
      <c r="R112" s="682"/>
      <c r="S112" s="682"/>
      <c r="T112" s="682"/>
      <c r="U112" s="682"/>
    </row>
    <row r="113" spans="4:21">
      <c r="D113" s="682"/>
      <c r="E113" s="704"/>
      <c r="F113" s="705"/>
      <c r="G113" s="682"/>
      <c r="H113" s="682"/>
      <c r="I113" s="682"/>
      <c r="J113" s="682"/>
      <c r="K113" s="682"/>
      <c r="L113" s="682"/>
      <c r="M113" s="682"/>
      <c r="N113" s="682"/>
      <c r="O113" s="682"/>
      <c r="P113" s="682"/>
      <c r="Q113" s="682"/>
      <c r="R113" s="682"/>
      <c r="S113" s="682"/>
      <c r="T113" s="682"/>
      <c r="U113" s="682"/>
    </row>
    <row r="114" spans="4:21">
      <c r="D114" s="682"/>
      <c r="E114" s="704"/>
      <c r="F114" s="705"/>
      <c r="G114" s="682"/>
      <c r="H114" s="682"/>
      <c r="I114" s="682"/>
      <c r="J114" s="682"/>
      <c r="K114" s="682"/>
      <c r="L114" s="682"/>
      <c r="M114" s="682"/>
      <c r="N114" s="682"/>
      <c r="O114" s="682"/>
      <c r="P114" s="682"/>
      <c r="Q114" s="682"/>
      <c r="R114" s="682"/>
      <c r="S114" s="682"/>
      <c r="T114" s="682"/>
      <c r="U114" s="682"/>
    </row>
    <row r="115" spans="4:21">
      <c r="D115" s="682"/>
      <c r="E115" s="704"/>
      <c r="F115" s="705"/>
      <c r="G115" s="682"/>
      <c r="H115" s="682"/>
      <c r="I115" s="682"/>
      <c r="J115" s="682"/>
      <c r="K115" s="682"/>
      <c r="L115" s="682"/>
      <c r="M115" s="682"/>
      <c r="N115" s="682"/>
      <c r="O115" s="682"/>
      <c r="P115" s="682"/>
      <c r="Q115" s="682"/>
      <c r="R115" s="682"/>
      <c r="S115" s="682"/>
      <c r="T115" s="682"/>
      <c r="U115" s="682"/>
    </row>
    <row r="116" spans="4:21">
      <c r="D116" s="682"/>
      <c r="E116" s="704"/>
      <c r="F116" s="705"/>
      <c r="G116" s="682"/>
      <c r="H116" s="682"/>
      <c r="I116" s="682"/>
      <c r="J116" s="682"/>
      <c r="K116" s="682"/>
      <c r="L116" s="682"/>
      <c r="M116" s="682"/>
      <c r="N116" s="682"/>
      <c r="O116" s="682"/>
      <c r="P116" s="682"/>
      <c r="Q116" s="682"/>
      <c r="R116" s="682"/>
      <c r="S116" s="682"/>
      <c r="T116" s="682"/>
      <c r="U116" s="682"/>
    </row>
    <row r="117" spans="4:21">
      <c r="D117" s="682"/>
      <c r="E117" s="704"/>
      <c r="F117" s="705"/>
      <c r="G117" s="682"/>
      <c r="H117" s="682"/>
      <c r="I117" s="682"/>
      <c r="J117" s="682"/>
      <c r="K117" s="682"/>
      <c r="L117" s="682"/>
      <c r="M117" s="682"/>
      <c r="N117" s="682"/>
      <c r="O117" s="682"/>
      <c r="P117" s="682"/>
      <c r="Q117" s="682"/>
      <c r="R117" s="682"/>
      <c r="S117" s="682"/>
      <c r="T117" s="682"/>
      <c r="U117" s="682"/>
    </row>
    <row r="118" spans="4:21">
      <c r="D118" s="682"/>
      <c r="E118" s="704"/>
      <c r="F118" s="705"/>
      <c r="G118" s="682"/>
      <c r="H118" s="682"/>
      <c r="I118" s="682"/>
      <c r="J118" s="682"/>
      <c r="K118" s="682"/>
      <c r="L118" s="682"/>
      <c r="M118" s="682"/>
      <c r="N118" s="682"/>
      <c r="O118" s="682"/>
      <c r="P118" s="682"/>
      <c r="Q118" s="682"/>
      <c r="R118" s="682"/>
      <c r="S118" s="682"/>
      <c r="T118" s="682"/>
      <c r="U118" s="682"/>
    </row>
    <row r="119" spans="4:21">
      <c r="D119" s="682"/>
      <c r="E119" s="704"/>
      <c r="F119" s="705"/>
      <c r="G119" s="682"/>
      <c r="H119" s="682"/>
      <c r="I119" s="682"/>
      <c r="J119" s="682"/>
      <c r="K119" s="682"/>
      <c r="L119" s="682"/>
      <c r="M119" s="682"/>
      <c r="N119" s="682"/>
      <c r="O119" s="682"/>
      <c r="P119" s="682"/>
      <c r="Q119" s="682"/>
      <c r="R119" s="682"/>
      <c r="S119" s="682"/>
      <c r="T119" s="682"/>
      <c r="U119" s="682"/>
    </row>
    <row r="120" spans="4:21">
      <c r="D120" s="682"/>
      <c r="E120" s="704"/>
      <c r="F120" s="705"/>
      <c r="G120" s="682"/>
      <c r="H120" s="682"/>
      <c r="I120" s="682"/>
      <c r="J120" s="682"/>
      <c r="K120" s="682"/>
      <c r="L120" s="682"/>
      <c r="M120" s="682"/>
      <c r="N120" s="682"/>
      <c r="O120" s="682"/>
      <c r="P120" s="682"/>
      <c r="Q120" s="682"/>
      <c r="R120" s="682"/>
      <c r="S120" s="682"/>
      <c r="T120" s="682"/>
      <c r="U120" s="682"/>
    </row>
    <row r="121" spans="4:21">
      <c r="D121" s="682"/>
      <c r="E121" s="704"/>
      <c r="F121" s="705"/>
      <c r="G121" s="682"/>
      <c r="H121" s="682"/>
      <c r="I121" s="682"/>
      <c r="J121" s="682"/>
      <c r="K121" s="682"/>
      <c r="L121" s="682"/>
      <c r="M121" s="682"/>
      <c r="N121" s="682"/>
      <c r="O121" s="682"/>
      <c r="P121" s="682"/>
      <c r="Q121" s="682"/>
      <c r="R121" s="682"/>
      <c r="S121" s="682"/>
      <c r="T121" s="682"/>
      <c r="U121" s="682"/>
    </row>
    <row r="122" spans="4:21">
      <c r="D122" s="682"/>
      <c r="E122" s="704"/>
      <c r="F122" s="705"/>
      <c r="G122" s="682"/>
      <c r="H122" s="682"/>
      <c r="I122" s="682"/>
      <c r="J122" s="682"/>
      <c r="K122" s="682"/>
      <c r="L122" s="682"/>
      <c r="M122" s="682"/>
      <c r="N122" s="682"/>
      <c r="O122" s="682"/>
      <c r="P122" s="682"/>
      <c r="Q122" s="682"/>
      <c r="R122" s="682"/>
      <c r="S122" s="682"/>
      <c r="T122" s="682"/>
      <c r="U122" s="682"/>
    </row>
    <row r="123" spans="4:21">
      <c r="D123" s="682"/>
      <c r="E123" s="704"/>
      <c r="F123" s="705"/>
      <c r="G123" s="682"/>
      <c r="H123" s="682"/>
      <c r="I123" s="682"/>
      <c r="J123" s="682"/>
      <c r="K123" s="682"/>
      <c r="L123" s="682"/>
      <c r="M123" s="682"/>
      <c r="N123" s="682"/>
      <c r="O123" s="682"/>
      <c r="P123" s="682"/>
      <c r="Q123" s="682"/>
      <c r="R123" s="682"/>
      <c r="S123" s="682"/>
      <c r="T123" s="682"/>
      <c r="U123" s="682"/>
    </row>
    <row r="124" spans="4:21">
      <c r="D124" s="682"/>
      <c r="E124" s="704"/>
      <c r="F124" s="705"/>
      <c r="G124" s="682"/>
      <c r="H124" s="682"/>
      <c r="I124" s="682"/>
      <c r="J124" s="682"/>
      <c r="K124" s="682"/>
      <c r="L124" s="682"/>
      <c r="M124" s="682"/>
      <c r="N124" s="682"/>
      <c r="O124" s="682"/>
      <c r="P124" s="682"/>
      <c r="Q124" s="682"/>
      <c r="R124" s="682"/>
      <c r="S124" s="682"/>
      <c r="T124" s="682"/>
      <c r="U124" s="682"/>
    </row>
    <row r="125" spans="4:21">
      <c r="D125" s="682"/>
      <c r="E125" s="704"/>
      <c r="F125" s="705"/>
      <c r="G125" s="682"/>
      <c r="H125" s="682"/>
      <c r="I125" s="682"/>
      <c r="J125" s="682"/>
      <c r="K125" s="682"/>
      <c r="L125" s="682"/>
      <c r="M125" s="682"/>
      <c r="N125" s="682"/>
      <c r="O125" s="682"/>
      <c r="P125" s="682"/>
      <c r="Q125" s="682"/>
      <c r="R125" s="682"/>
      <c r="S125" s="682"/>
      <c r="T125" s="682"/>
      <c r="U125" s="682"/>
    </row>
    <row r="126" spans="4:21">
      <c r="D126" s="682"/>
      <c r="E126" s="704"/>
      <c r="F126" s="705"/>
      <c r="G126" s="682"/>
      <c r="H126" s="682"/>
      <c r="I126" s="682"/>
      <c r="J126" s="682"/>
      <c r="K126" s="682"/>
      <c r="L126" s="682"/>
      <c r="M126" s="682"/>
      <c r="N126" s="682"/>
      <c r="O126" s="682"/>
      <c r="P126" s="682"/>
      <c r="Q126" s="682"/>
      <c r="R126" s="682"/>
      <c r="S126" s="682"/>
      <c r="T126" s="682"/>
      <c r="U126" s="682"/>
    </row>
    <row r="127" spans="4:21">
      <c r="D127" s="682"/>
      <c r="E127" s="704"/>
      <c r="F127" s="705"/>
      <c r="G127" s="682"/>
      <c r="H127" s="682"/>
      <c r="I127" s="682"/>
      <c r="J127" s="682"/>
      <c r="K127" s="682"/>
      <c r="L127" s="682"/>
      <c r="M127" s="682"/>
      <c r="N127" s="682"/>
      <c r="O127" s="682"/>
      <c r="P127" s="682"/>
      <c r="Q127" s="682"/>
      <c r="R127" s="682"/>
      <c r="S127" s="682"/>
      <c r="T127" s="682"/>
      <c r="U127" s="682"/>
    </row>
    <row r="128" spans="4:21">
      <c r="D128" s="682"/>
      <c r="E128" s="704"/>
      <c r="F128" s="705"/>
      <c r="G128" s="682"/>
      <c r="H128" s="682"/>
      <c r="I128" s="682"/>
      <c r="J128" s="682"/>
      <c r="K128" s="682"/>
      <c r="L128" s="682"/>
      <c r="M128" s="682"/>
      <c r="N128" s="682"/>
      <c r="O128" s="682"/>
      <c r="P128" s="682"/>
      <c r="Q128" s="682"/>
      <c r="R128" s="682"/>
      <c r="S128" s="682"/>
      <c r="T128" s="682"/>
      <c r="U128" s="682"/>
    </row>
    <row r="129" spans="4:21">
      <c r="D129" s="682"/>
      <c r="E129" s="704"/>
      <c r="F129" s="705"/>
      <c r="G129" s="682"/>
      <c r="H129" s="682"/>
      <c r="I129" s="682"/>
      <c r="J129" s="682"/>
      <c r="K129" s="682"/>
      <c r="L129" s="682"/>
      <c r="M129" s="682"/>
      <c r="N129" s="682"/>
      <c r="O129" s="682"/>
      <c r="P129" s="682"/>
      <c r="Q129" s="682"/>
      <c r="R129" s="682"/>
      <c r="S129" s="682"/>
      <c r="T129" s="682"/>
      <c r="U129" s="682"/>
    </row>
    <row r="130" spans="4:21">
      <c r="D130" s="682"/>
      <c r="E130" s="704"/>
      <c r="F130" s="705"/>
      <c r="G130" s="682"/>
      <c r="H130" s="682"/>
      <c r="I130" s="682"/>
      <c r="J130" s="682"/>
      <c r="K130" s="682"/>
      <c r="L130" s="682"/>
      <c r="M130" s="682"/>
      <c r="N130" s="682"/>
      <c r="O130" s="682"/>
      <c r="P130" s="682"/>
      <c r="Q130" s="682"/>
      <c r="R130" s="682"/>
      <c r="S130" s="682"/>
      <c r="T130" s="682"/>
      <c r="U130" s="682"/>
    </row>
    <row r="131" spans="4:21">
      <c r="D131" s="682"/>
      <c r="E131" s="704"/>
      <c r="F131" s="705"/>
      <c r="G131" s="682"/>
      <c r="H131" s="682"/>
      <c r="I131" s="682"/>
      <c r="J131" s="682"/>
      <c r="K131" s="682"/>
      <c r="L131" s="682"/>
      <c r="M131" s="682"/>
      <c r="N131" s="682"/>
      <c r="O131" s="682"/>
      <c r="P131" s="682"/>
      <c r="Q131" s="682"/>
      <c r="R131" s="682"/>
      <c r="S131" s="682"/>
      <c r="T131" s="682"/>
      <c r="U131" s="682"/>
    </row>
    <row r="132" spans="4:21">
      <c r="D132" s="682"/>
      <c r="E132" s="704"/>
      <c r="F132" s="705"/>
      <c r="G132" s="682"/>
      <c r="H132" s="682"/>
      <c r="I132" s="682"/>
      <c r="J132" s="682"/>
      <c r="K132" s="682"/>
      <c r="L132" s="682"/>
      <c r="M132" s="682"/>
      <c r="N132" s="682"/>
      <c r="O132" s="682"/>
      <c r="P132" s="682"/>
      <c r="Q132" s="682"/>
      <c r="R132" s="682"/>
      <c r="S132" s="682"/>
      <c r="T132" s="682"/>
      <c r="U132" s="682"/>
    </row>
    <row r="133" spans="4:21">
      <c r="D133" s="682"/>
      <c r="E133" s="704"/>
      <c r="F133" s="705"/>
      <c r="G133" s="682"/>
      <c r="H133" s="682"/>
      <c r="I133" s="682"/>
      <c r="J133" s="682"/>
      <c r="K133" s="682"/>
      <c r="L133" s="682"/>
      <c r="M133" s="682"/>
      <c r="N133" s="682"/>
      <c r="O133" s="682"/>
      <c r="P133" s="682"/>
      <c r="Q133" s="682"/>
      <c r="R133" s="682"/>
      <c r="S133" s="682"/>
      <c r="T133" s="682"/>
      <c r="U133" s="682"/>
    </row>
    <row r="134" spans="4:21">
      <c r="D134" s="682"/>
      <c r="E134" s="704"/>
      <c r="F134" s="705"/>
      <c r="G134" s="682"/>
      <c r="H134" s="682"/>
      <c r="I134" s="682"/>
      <c r="J134" s="682"/>
      <c r="K134" s="682"/>
      <c r="L134" s="682"/>
      <c r="M134" s="682"/>
      <c r="N134" s="682"/>
      <c r="O134" s="682"/>
      <c r="P134" s="682"/>
      <c r="Q134" s="682"/>
      <c r="R134" s="682"/>
      <c r="S134" s="682"/>
      <c r="T134" s="682"/>
      <c r="U134" s="682"/>
    </row>
    <row r="135" spans="4:21">
      <c r="D135" s="682"/>
      <c r="E135" s="704"/>
      <c r="F135" s="705"/>
      <c r="G135" s="682"/>
      <c r="H135" s="682"/>
      <c r="I135" s="682"/>
      <c r="J135" s="682"/>
      <c r="K135" s="682"/>
      <c r="L135" s="682"/>
      <c r="M135" s="682"/>
      <c r="N135" s="682"/>
      <c r="O135" s="682"/>
      <c r="P135" s="682"/>
      <c r="Q135" s="682"/>
      <c r="R135" s="682"/>
      <c r="S135" s="682"/>
      <c r="T135" s="682"/>
      <c r="U135" s="682"/>
    </row>
    <row r="136" spans="4:21">
      <c r="D136" s="682"/>
      <c r="E136" s="704"/>
      <c r="F136" s="705"/>
      <c r="G136" s="682"/>
      <c r="H136" s="682"/>
      <c r="I136" s="682"/>
      <c r="J136" s="682"/>
      <c r="K136" s="682"/>
      <c r="L136" s="682"/>
      <c r="M136" s="682"/>
      <c r="N136" s="682"/>
      <c r="O136" s="682"/>
      <c r="P136" s="682"/>
      <c r="Q136" s="682"/>
      <c r="R136" s="682"/>
      <c r="S136" s="682"/>
      <c r="T136" s="682"/>
      <c r="U136" s="682"/>
    </row>
    <row r="137" spans="4:21">
      <c r="D137" s="682"/>
      <c r="E137" s="704"/>
      <c r="F137" s="705"/>
      <c r="G137" s="682"/>
      <c r="H137" s="682"/>
      <c r="I137" s="682"/>
      <c r="J137" s="682"/>
      <c r="K137" s="682"/>
      <c r="L137" s="682"/>
      <c r="M137" s="682"/>
      <c r="N137" s="682"/>
      <c r="O137" s="682"/>
      <c r="P137" s="682"/>
      <c r="Q137" s="682"/>
      <c r="R137" s="682"/>
      <c r="S137" s="682"/>
      <c r="T137" s="682"/>
      <c r="U137" s="682"/>
    </row>
    <row r="138" spans="4:21">
      <c r="D138" s="682"/>
      <c r="E138" s="704"/>
      <c r="F138" s="705"/>
      <c r="G138" s="682"/>
      <c r="H138" s="682"/>
      <c r="I138" s="682"/>
      <c r="J138" s="682"/>
      <c r="K138" s="682"/>
      <c r="L138" s="682"/>
      <c r="M138" s="682"/>
      <c r="N138" s="682"/>
      <c r="O138" s="682"/>
      <c r="P138" s="682"/>
      <c r="Q138" s="682"/>
      <c r="R138" s="682"/>
      <c r="S138" s="682"/>
      <c r="T138" s="682"/>
      <c r="U138" s="682"/>
    </row>
    <row r="139" spans="4:21">
      <c r="D139" s="682"/>
      <c r="E139" s="704"/>
      <c r="F139" s="705"/>
      <c r="G139" s="682"/>
      <c r="H139" s="682"/>
      <c r="I139" s="682"/>
      <c r="J139" s="682"/>
      <c r="K139" s="682"/>
      <c r="L139" s="682"/>
      <c r="M139" s="682"/>
      <c r="N139" s="682"/>
      <c r="O139" s="682"/>
      <c r="P139" s="682"/>
      <c r="Q139" s="682"/>
      <c r="R139" s="682"/>
      <c r="S139" s="682"/>
      <c r="T139" s="682"/>
      <c r="U139" s="682"/>
    </row>
    <row r="140" spans="4:21">
      <c r="D140" s="682"/>
      <c r="E140" s="704"/>
      <c r="F140" s="705"/>
      <c r="G140" s="682"/>
      <c r="H140" s="682"/>
      <c r="I140" s="682"/>
      <c r="J140" s="682"/>
      <c r="K140" s="682"/>
      <c r="L140" s="682"/>
      <c r="M140" s="682"/>
      <c r="N140" s="682"/>
      <c r="O140" s="682"/>
      <c r="P140" s="682"/>
      <c r="Q140" s="682"/>
      <c r="R140" s="682"/>
      <c r="S140" s="682"/>
      <c r="T140" s="682"/>
      <c r="U140" s="682"/>
    </row>
    <row r="141" spans="4:21">
      <c r="D141" s="682"/>
      <c r="E141" s="704"/>
      <c r="F141" s="705"/>
      <c r="G141" s="682"/>
      <c r="H141" s="682"/>
      <c r="I141" s="682"/>
      <c r="J141" s="682"/>
      <c r="K141" s="682"/>
      <c r="L141" s="682"/>
      <c r="M141" s="682"/>
      <c r="N141" s="682"/>
      <c r="O141" s="682"/>
      <c r="P141" s="682"/>
      <c r="Q141" s="682"/>
      <c r="R141" s="682"/>
      <c r="S141" s="682"/>
      <c r="T141" s="682"/>
      <c r="U141" s="682"/>
    </row>
    <row r="142" spans="4:21">
      <c r="D142" s="682"/>
      <c r="E142" s="704"/>
      <c r="F142" s="705"/>
      <c r="G142" s="682"/>
      <c r="H142" s="682"/>
      <c r="I142" s="682"/>
      <c r="J142" s="682"/>
      <c r="K142" s="682"/>
      <c r="L142" s="682"/>
      <c r="M142" s="682"/>
      <c r="N142" s="682"/>
      <c r="O142" s="682"/>
      <c r="P142" s="682"/>
      <c r="Q142" s="682"/>
      <c r="R142" s="682"/>
      <c r="S142" s="682"/>
      <c r="T142" s="682"/>
      <c r="U142" s="682"/>
    </row>
    <row r="143" spans="4:21">
      <c r="D143" s="682"/>
      <c r="E143" s="704"/>
      <c r="F143" s="705"/>
      <c r="G143" s="682"/>
      <c r="H143" s="682"/>
      <c r="I143" s="682"/>
      <c r="J143" s="682"/>
      <c r="K143" s="682"/>
      <c r="L143" s="682"/>
      <c r="M143" s="682"/>
      <c r="N143" s="682"/>
      <c r="O143" s="682"/>
      <c r="P143" s="682"/>
      <c r="Q143" s="682"/>
      <c r="R143" s="682"/>
      <c r="S143" s="682"/>
      <c r="T143" s="682"/>
      <c r="U143" s="682"/>
    </row>
    <row r="144" spans="4:21">
      <c r="D144" s="682"/>
      <c r="E144" s="704"/>
      <c r="F144" s="705"/>
      <c r="G144" s="682"/>
      <c r="H144" s="682"/>
      <c r="I144" s="682"/>
      <c r="J144" s="682"/>
      <c r="K144" s="682"/>
      <c r="L144" s="682"/>
      <c r="M144" s="682"/>
      <c r="N144" s="682"/>
      <c r="O144" s="682"/>
      <c r="P144" s="682"/>
      <c r="Q144" s="682"/>
      <c r="R144" s="682"/>
      <c r="S144" s="682"/>
      <c r="T144" s="682"/>
      <c r="U144" s="682"/>
    </row>
    <row r="145" spans="4:21">
      <c r="D145" s="682"/>
      <c r="E145" s="704"/>
      <c r="F145" s="705"/>
      <c r="G145" s="682"/>
      <c r="H145" s="682"/>
      <c r="I145" s="682"/>
      <c r="J145" s="682"/>
      <c r="K145" s="682"/>
      <c r="L145" s="682"/>
      <c r="M145" s="682"/>
      <c r="N145" s="682"/>
      <c r="O145" s="682"/>
      <c r="P145" s="682"/>
      <c r="Q145" s="682"/>
      <c r="R145" s="682"/>
      <c r="S145" s="682"/>
      <c r="T145" s="682"/>
      <c r="U145" s="682"/>
    </row>
    <row r="146" spans="4:21">
      <c r="D146" s="682"/>
      <c r="E146" s="704"/>
      <c r="F146" s="705"/>
      <c r="G146" s="682"/>
      <c r="H146" s="682"/>
      <c r="I146" s="682"/>
      <c r="J146" s="682"/>
      <c r="K146" s="682"/>
      <c r="L146" s="682"/>
      <c r="M146" s="682"/>
      <c r="N146" s="682"/>
      <c r="O146" s="682"/>
      <c r="P146" s="682"/>
      <c r="Q146" s="682"/>
      <c r="R146" s="682"/>
      <c r="S146" s="682"/>
      <c r="T146" s="682"/>
      <c r="U146" s="682"/>
    </row>
    <row r="147" spans="4:21">
      <c r="D147" s="682"/>
      <c r="E147" s="704"/>
      <c r="F147" s="705"/>
      <c r="G147" s="682"/>
      <c r="H147" s="682"/>
      <c r="I147" s="682"/>
      <c r="J147" s="682"/>
      <c r="K147" s="682"/>
      <c r="L147" s="682"/>
      <c r="M147" s="682"/>
      <c r="N147" s="682"/>
      <c r="O147" s="682"/>
      <c r="P147" s="682"/>
      <c r="Q147" s="682"/>
      <c r="R147" s="682"/>
      <c r="S147" s="682"/>
      <c r="T147" s="682"/>
      <c r="U147" s="682"/>
    </row>
    <row r="148" spans="4:21">
      <c r="D148" s="682"/>
      <c r="E148" s="704"/>
      <c r="F148" s="705"/>
      <c r="G148" s="682"/>
      <c r="H148" s="682"/>
      <c r="I148" s="682"/>
      <c r="J148" s="682"/>
      <c r="K148" s="682"/>
      <c r="L148" s="682"/>
      <c r="M148" s="682"/>
      <c r="N148" s="682"/>
      <c r="O148" s="682"/>
      <c r="P148" s="682"/>
      <c r="Q148" s="682"/>
      <c r="R148" s="682"/>
      <c r="S148" s="682"/>
      <c r="T148" s="682"/>
      <c r="U148" s="682"/>
    </row>
    <row r="149" spans="4:21">
      <c r="D149" s="682"/>
      <c r="E149" s="704"/>
      <c r="F149" s="705"/>
      <c r="G149" s="682"/>
      <c r="H149" s="682"/>
      <c r="I149" s="682"/>
      <c r="J149" s="682"/>
      <c r="K149" s="682"/>
      <c r="L149" s="682"/>
      <c r="M149" s="682"/>
      <c r="N149" s="682"/>
      <c r="O149" s="682"/>
      <c r="P149" s="682"/>
      <c r="Q149" s="682"/>
      <c r="R149" s="682"/>
      <c r="S149" s="682"/>
      <c r="T149" s="682"/>
      <c r="U149" s="682"/>
    </row>
    <row r="150" spans="4:21">
      <c r="D150" s="682"/>
      <c r="E150" s="704"/>
      <c r="F150" s="705"/>
      <c r="G150" s="682"/>
      <c r="H150" s="682"/>
      <c r="I150" s="682"/>
      <c r="J150" s="682"/>
      <c r="K150" s="682"/>
      <c r="L150" s="682"/>
      <c r="M150" s="682"/>
      <c r="N150" s="682"/>
      <c r="O150" s="682"/>
      <c r="P150" s="682"/>
      <c r="Q150" s="682"/>
      <c r="R150" s="682"/>
      <c r="S150" s="682"/>
      <c r="T150" s="682"/>
      <c r="U150" s="682"/>
    </row>
    <row r="151" spans="4:21">
      <c r="D151" s="682"/>
      <c r="E151" s="704"/>
      <c r="F151" s="705"/>
      <c r="G151" s="682"/>
      <c r="H151" s="682"/>
      <c r="I151" s="682"/>
      <c r="J151" s="682"/>
      <c r="K151" s="682"/>
      <c r="L151" s="682"/>
      <c r="M151" s="682"/>
      <c r="N151" s="682"/>
      <c r="O151" s="682"/>
      <c r="P151" s="682"/>
      <c r="Q151" s="682"/>
      <c r="R151" s="682"/>
      <c r="S151" s="682"/>
      <c r="T151" s="682"/>
      <c r="U151" s="682"/>
    </row>
    <row r="152" spans="4:21">
      <c r="D152" s="682"/>
      <c r="E152" s="704"/>
      <c r="F152" s="705"/>
      <c r="G152" s="682"/>
      <c r="H152" s="682"/>
      <c r="I152" s="682"/>
      <c r="J152" s="682"/>
      <c r="K152" s="682"/>
      <c r="L152" s="682"/>
      <c r="M152" s="682"/>
      <c r="N152" s="682"/>
      <c r="O152" s="682"/>
      <c r="P152" s="682"/>
      <c r="Q152" s="682"/>
      <c r="R152" s="682"/>
      <c r="S152" s="682"/>
      <c r="T152" s="682"/>
      <c r="U152" s="682"/>
    </row>
    <row r="153" spans="4:21">
      <c r="D153" s="682"/>
      <c r="E153" s="704"/>
      <c r="F153" s="705"/>
      <c r="G153" s="682"/>
      <c r="H153" s="682"/>
      <c r="I153" s="682"/>
      <c r="J153" s="682"/>
      <c r="K153" s="682"/>
      <c r="L153" s="682"/>
      <c r="M153" s="682"/>
      <c r="N153" s="682"/>
      <c r="O153" s="682"/>
      <c r="P153" s="682"/>
      <c r="Q153" s="682"/>
      <c r="R153" s="682"/>
      <c r="S153" s="682"/>
      <c r="T153" s="682"/>
      <c r="U153" s="682"/>
    </row>
    <row r="154" spans="4:21">
      <c r="D154" s="682"/>
      <c r="E154" s="704"/>
      <c r="F154" s="705"/>
      <c r="G154" s="682"/>
      <c r="H154" s="682"/>
      <c r="I154" s="682"/>
      <c r="J154" s="682"/>
      <c r="K154" s="682"/>
      <c r="L154" s="682"/>
      <c r="M154" s="682"/>
      <c r="N154" s="682"/>
      <c r="O154" s="682"/>
      <c r="P154" s="682"/>
      <c r="Q154" s="682"/>
      <c r="R154" s="682"/>
      <c r="S154" s="682"/>
      <c r="T154" s="682"/>
      <c r="U154" s="682"/>
    </row>
    <row r="155" spans="4:21">
      <c r="D155" s="682"/>
      <c r="E155" s="704"/>
      <c r="F155" s="705"/>
      <c r="G155" s="682"/>
      <c r="H155" s="682"/>
      <c r="I155" s="682"/>
      <c r="J155" s="682"/>
      <c r="K155" s="682"/>
      <c r="L155" s="682"/>
      <c r="M155" s="682"/>
      <c r="N155" s="682"/>
      <c r="O155" s="682"/>
      <c r="P155" s="682"/>
      <c r="Q155" s="682"/>
      <c r="R155" s="682"/>
      <c r="S155" s="682"/>
      <c r="T155" s="682"/>
      <c r="U155" s="682"/>
    </row>
    <row r="156" spans="4:21">
      <c r="D156" s="682"/>
      <c r="E156" s="704"/>
      <c r="F156" s="705"/>
      <c r="G156" s="682"/>
      <c r="H156" s="682"/>
      <c r="I156" s="682"/>
      <c r="J156" s="682"/>
      <c r="K156" s="682"/>
      <c r="L156" s="682"/>
      <c r="M156" s="682"/>
      <c r="N156" s="682"/>
      <c r="O156" s="682"/>
      <c r="P156" s="682"/>
      <c r="Q156" s="682"/>
      <c r="R156" s="682"/>
      <c r="S156" s="682"/>
      <c r="T156" s="682"/>
      <c r="U156" s="682"/>
    </row>
    <row r="157" spans="4:21">
      <c r="D157" s="682"/>
      <c r="E157" s="704"/>
      <c r="F157" s="705"/>
      <c r="G157" s="682"/>
      <c r="H157" s="682"/>
      <c r="I157" s="682"/>
      <c r="J157" s="682"/>
      <c r="K157" s="682"/>
      <c r="L157" s="682"/>
      <c r="M157" s="682"/>
      <c r="N157" s="682"/>
      <c r="O157" s="682"/>
      <c r="P157" s="682"/>
      <c r="Q157" s="682"/>
      <c r="R157" s="682"/>
      <c r="S157" s="682"/>
      <c r="T157" s="682"/>
      <c r="U157" s="682"/>
    </row>
    <row r="158" spans="4:21">
      <c r="D158" s="682"/>
      <c r="E158" s="704"/>
      <c r="F158" s="705"/>
      <c r="G158" s="682"/>
      <c r="H158" s="682"/>
      <c r="I158" s="682"/>
      <c r="J158" s="682"/>
      <c r="K158" s="682"/>
      <c r="L158" s="682"/>
      <c r="M158" s="682"/>
      <c r="N158" s="682"/>
      <c r="O158" s="682"/>
      <c r="P158" s="682"/>
      <c r="Q158" s="682"/>
      <c r="R158" s="682"/>
      <c r="S158" s="682"/>
      <c r="T158" s="682"/>
      <c r="U158" s="682"/>
    </row>
    <row r="159" spans="4:21">
      <c r="D159" s="665"/>
      <c r="F159" s="712"/>
      <c r="G159" s="665"/>
      <c r="H159" s="665"/>
      <c r="I159" s="665"/>
      <c r="J159" s="665"/>
      <c r="K159" s="665"/>
      <c r="L159" s="665"/>
      <c r="M159" s="665"/>
      <c r="N159" s="665"/>
      <c r="O159" s="665"/>
      <c r="P159" s="665"/>
      <c r="Q159" s="665"/>
      <c r="R159" s="665"/>
      <c r="S159" s="665"/>
      <c r="T159" s="665"/>
      <c r="U159" s="665"/>
    </row>
    <row r="160" spans="4:21">
      <c r="D160" s="665"/>
      <c r="F160" s="712"/>
      <c r="G160" s="665"/>
      <c r="H160" s="665"/>
      <c r="I160" s="665"/>
      <c r="J160" s="665"/>
      <c r="K160" s="665"/>
      <c r="L160" s="665"/>
      <c r="M160" s="665"/>
      <c r="N160" s="665"/>
      <c r="O160" s="665"/>
      <c r="P160" s="665"/>
      <c r="Q160" s="665"/>
      <c r="R160" s="665"/>
      <c r="S160" s="665"/>
      <c r="T160" s="665"/>
      <c r="U160" s="665"/>
    </row>
    <row r="161" spans="4:21">
      <c r="D161" s="665"/>
      <c r="F161" s="712"/>
      <c r="G161" s="665"/>
      <c r="H161" s="665"/>
      <c r="I161" s="665"/>
      <c r="J161" s="665"/>
      <c r="K161" s="665"/>
      <c r="L161" s="665"/>
      <c r="M161" s="665"/>
      <c r="N161" s="665"/>
      <c r="O161" s="665"/>
      <c r="P161" s="665"/>
      <c r="Q161" s="665"/>
      <c r="R161" s="665"/>
      <c r="S161" s="665"/>
      <c r="T161" s="665"/>
      <c r="U161" s="665"/>
    </row>
    <row r="162" spans="4:21">
      <c r="D162" s="665"/>
      <c r="F162" s="712"/>
      <c r="G162" s="665"/>
      <c r="H162" s="665"/>
      <c r="I162" s="665"/>
      <c r="J162" s="665"/>
      <c r="K162" s="665"/>
      <c r="L162" s="665"/>
      <c r="M162" s="665"/>
      <c r="N162" s="665"/>
      <c r="O162" s="665"/>
      <c r="P162" s="665"/>
      <c r="Q162" s="665"/>
      <c r="R162" s="665"/>
      <c r="S162" s="665"/>
      <c r="T162" s="665"/>
      <c r="U162" s="665"/>
    </row>
    <row r="163" spans="4:21">
      <c r="D163" s="665"/>
      <c r="F163" s="712"/>
      <c r="G163" s="665"/>
      <c r="H163" s="665"/>
      <c r="I163" s="665"/>
      <c r="J163" s="665"/>
      <c r="K163" s="665"/>
      <c r="L163" s="665"/>
      <c r="M163" s="665"/>
      <c r="N163" s="665"/>
      <c r="O163" s="665"/>
      <c r="P163" s="665"/>
      <c r="Q163" s="665"/>
      <c r="R163" s="665"/>
      <c r="S163" s="665"/>
      <c r="T163" s="665"/>
      <c r="U163" s="665"/>
    </row>
  </sheetData>
  <mergeCells count="25">
    <mergeCell ref="E37:J37"/>
    <mergeCell ref="M37:T37"/>
    <mergeCell ref="E3:J3"/>
    <mergeCell ref="M3:T3"/>
    <mergeCell ref="C5:C16"/>
    <mergeCell ref="E19:J19"/>
    <mergeCell ref="M19:T19"/>
    <mergeCell ref="J22:J24"/>
    <mergeCell ref="E28:J28"/>
    <mergeCell ref="M28:T28"/>
    <mergeCell ref="G31:G33"/>
    <mergeCell ref="J31:J34"/>
    <mergeCell ref="T31:T34"/>
    <mergeCell ref="T40:T41"/>
    <mergeCell ref="E48:J48"/>
    <mergeCell ref="M48:T48"/>
    <mergeCell ref="O50:O57"/>
    <mergeCell ref="G51:G57"/>
    <mergeCell ref="J51:J57"/>
    <mergeCell ref="T51:T57"/>
    <mergeCell ref="E62:J62"/>
    <mergeCell ref="M62:T62"/>
    <mergeCell ref="G65:G71"/>
    <mergeCell ref="J65:J71"/>
    <mergeCell ref="T65:T71"/>
  </mergeCells>
  <pageMargins left="0.7" right="0.7" top="0.75" bottom="0.75" header="0.3" footer="0.3"/>
  <pageSetup paperSize="9" scale="65" orientation="landscape"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BE4-0E77-4761-A98C-3C1DF82141D4}">
  <sheetPr>
    <pageSetUpPr fitToPage="1"/>
  </sheetPr>
  <dimension ref="A1:AB210"/>
  <sheetViews>
    <sheetView showGridLines="0" view="pageBreakPreview" zoomScaleNormal="100" zoomScaleSheetLayoutView="100" workbookViewId="0">
      <pane xSplit="2" ySplit="7" topLeftCell="C185" activePane="bottomRight" state="frozen"/>
      <selection pane="topRight" activeCell="C1" sqref="C1"/>
      <selection pane="bottomLeft" activeCell="A8" sqref="A8"/>
      <selection pane="bottomRight" activeCell="I197" sqref="I197"/>
    </sheetView>
  </sheetViews>
  <sheetFormatPr defaultColWidth="9.1796875" defaultRowHeight="12.5"/>
  <cols>
    <col min="1" max="1" width="3.453125" style="479" customWidth="1"/>
    <col min="2" max="2" width="26.54296875" style="352" customWidth="1"/>
    <col min="3" max="3" width="8" style="352" customWidth="1"/>
    <col min="4" max="4" width="6.453125" style="352" customWidth="1"/>
    <col min="5" max="5" width="7.81640625" style="352" bestFit="1" customWidth="1"/>
    <col min="6" max="6" width="9.81640625" style="352" customWidth="1"/>
    <col min="7" max="7" width="2.1796875" style="352" customWidth="1"/>
    <col min="8" max="8" width="8.1796875" style="352" customWidth="1"/>
    <col min="9" max="9" width="18.81640625" style="352" customWidth="1"/>
    <col min="10" max="10" width="1.81640625" style="352" customWidth="1"/>
    <col min="11" max="11" width="9.1796875" style="352" customWidth="1"/>
    <col min="12" max="12" width="8.54296875" style="352" bestFit="1" customWidth="1"/>
    <col min="13" max="13" width="2.1796875" style="352" customWidth="1"/>
    <col min="14" max="14" width="1.1796875" style="352" customWidth="1"/>
    <col min="15" max="15" width="6.81640625" style="352" customWidth="1"/>
    <col min="16" max="16" width="5.81640625" style="352" customWidth="1"/>
    <col min="17" max="17" width="7.81640625" style="352" bestFit="1" customWidth="1"/>
    <col min="18" max="18" width="9.81640625" style="352" customWidth="1"/>
    <col min="19" max="19" width="1.81640625" style="352" customWidth="1"/>
    <col min="20" max="20" width="6.81640625" style="352" customWidth="1"/>
    <col min="21" max="21" width="18.81640625" style="352" customWidth="1"/>
    <col min="22" max="22" width="1.54296875" style="352" customWidth="1"/>
    <col min="23" max="23" width="8.81640625" style="352" customWidth="1"/>
    <col min="24" max="24" width="9.81640625" style="352" customWidth="1"/>
    <col min="25" max="25" width="1.54296875" style="479" customWidth="1"/>
    <col min="26" max="27" width="9.1796875" style="479"/>
    <col min="28" max="28" width="26.54296875" style="479" customWidth="1"/>
    <col min="29" max="16384" width="9.1796875" style="479"/>
  </cols>
  <sheetData>
    <row r="1" spans="1:28" ht="15.75" customHeight="1">
      <c r="B1" s="816" t="s">
        <v>898</v>
      </c>
      <c r="I1" s="817"/>
      <c r="J1" s="817"/>
      <c r="K1" s="817"/>
      <c r="L1" s="817"/>
      <c r="AB1" s="557"/>
    </row>
    <row r="2" spans="1:28" ht="15.75" customHeight="1">
      <c r="B2" s="818" t="s">
        <v>774</v>
      </c>
      <c r="I2" s="817"/>
      <c r="J2" s="817"/>
      <c r="K2" s="817"/>
      <c r="L2" s="817"/>
      <c r="AB2" s="569"/>
    </row>
    <row r="3" spans="1:28" ht="15.75" customHeight="1">
      <c r="B3" s="1343" t="s">
        <v>437</v>
      </c>
      <c r="C3" s="1344"/>
      <c r="D3" s="1344"/>
      <c r="E3" s="1344"/>
      <c r="F3" s="1344"/>
      <c r="G3" s="1344"/>
      <c r="H3" s="1344"/>
      <c r="I3" s="1344"/>
      <c r="J3" s="1344"/>
      <c r="K3" s="1344"/>
      <c r="L3" s="1344"/>
      <c r="M3" s="819"/>
      <c r="N3" s="1343" t="s">
        <v>456</v>
      </c>
      <c r="O3" s="1344"/>
      <c r="P3" s="1344"/>
      <c r="Q3" s="1344"/>
      <c r="R3" s="1344"/>
      <c r="S3" s="1344"/>
      <c r="T3" s="1344"/>
      <c r="U3" s="1344"/>
      <c r="V3" s="1344"/>
      <c r="W3" s="1344"/>
      <c r="X3" s="1344"/>
    </row>
    <row r="4" spans="1:28" ht="11.15" customHeight="1">
      <c r="A4" s="559"/>
      <c r="B4" s="820"/>
      <c r="C4" s="1330" t="s">
        <v>586</v>
      </c>
      <c r="D4" s="1330"/>
      <c r="E4" s="1330"/>
      <c r="F4" s="1330"/>
      <c r="G4" s="821"/>
      <c r="H4" s="1341" t="s">
        <v>773</v>
      </c>
      <c r="I4" s="1341"/>
      <c r="J4" s="1341"/>
      <c r="K4" s="1341"/>
      <c r="L4" s="1341"/>
      <c r="M4" s="822"/>
      <c r="N4" s="823"/>
      <c r="O4" s="1330" t="s">
        <v>586</v>
      </c>
      <c r="P4" s="1330"/>
      <c r="Q4" s="1330"/>
      <c r="R4" s="1330"/>
      <c r="S4" s="821"/>
      <c r="T4" s="1341" t="s">
        <v>773</v>
      </c>
      <c r="U4" s="1341"/>
      <c r="V4" s="1341"/>
      <c r="W4" s="1341"/>
      <c r="X4" s="1341"/>
      <c r="AB4" s="571"/>
    </row>
    <row r="5" spans="1:28" ht="27" customHeight="1">
      <c r="A5" s="559"/>
      <c r="B5" s="820"/>
      <c r="C5" s="1341" t="s">
        <v>770</v>
      </c>
      <c r="D5" s="1341"/>
      <c r="E5" s="1341"/>
      <c r="F5" s="1342" t="s">
        <v>771</v>
      </c>
      <c r="G5" s="821"/>
      <c r="H5" s="824"/>
      <c r="I5" s="1338" t="s">
        <v>778</v>
      </c>
      <c r="J5" s="824"/>
      <c r="K5" s="1330" t="s">
        <v>211</v>
      </c>
      <c r="L5" s="1330"/>
      <c r="M5" s="822"/>
      <c r="N5" s="823"/>
      <c r="O5" s="1341" t="s">
        <v>770</v>
      </c>
      <c r="P5" s="1341"/>
      <c r="Q5" s="1341"/>
      <c r="R5" s="1342" t="s">
        <v>771</v>
      </c>
      <c r="S5" s="821"/>
      <c r="T5" s="824"/>
      <c r="U5" s="1338" t="s">
        <v>778</v>
      </c>
      <c r="V5" s="824"/>
      <c r="W5" s="1330" t="s">
        <v>211</v>
      </c>
      <c r="X5" s="1330"/>
      <c r="AB5" s="571"/>
    </row>
    <row r="6" spans="1:28" ht="29.5" customHeight="1">
      <c r="A6" s="559"/>
      <c r="B6" s="825"/>
      <c r="C6" s="577" t="s">
        <v>429</v>
      </c>
      <c r="D6" s="851" t="s">
        <v>769</v>
      </c>
      <c r="E6" s="851" t="s">
        <v>772</v>
      </c>
      <c r="F6" s="1335"/>
      <c r="G6" s="826"/>
      <c r="H6" s="580" t="s">
        <v>429</v>
      </c>
      <c r="I6" s="1337"/>
      <c r="J6" s="581"/>
      <c r="K6" s="581" t="s">
        <v>587</v>
      </c>
      <c r="L6" s="581" t="s">
        <v>588</v>
      </c>
      <c r="M6" s="827"/>
      <c r="N6" s="828"/>
      <c r="O6" s="577" t="s">
        <v>429</v>
      </c>
      <c r="P6" s="851" t="s">
        <v>769</v>
      </c>
      <c r="Q6" s="851" t="s">
        <v>772</v>
      </c>
      <c r="R6" s="1335"/>
      <c r="S6" s="826"/>
      <c r="T6" s="580" t="s">
        <v>429</v>
      </c>
      <c r="U6" s="1337"/>
      <c r="V6" s="581"/>
      <c r="W6" s="581" t="s">
        <v>587</v>
      </c>
      <c r="X6" s="851" t="s">
        <v>588</v>
      </c>
      <c r="AB6" s="576"/>
    </row>
    <row r="7" spans="1:28">
      <c r="A7" s="559"/>
      <c r="B7" s="829" t="s">
        <v>775</v>
      </c>
      <c r="C7" s="830"/>
      <c r="D7" s="830"/>
      <c r="E7" s="830"/>
      <c r="F7" s="830"/>
      <c r="G7" s="830"/>
      <c r="H7" s="830"/>
      <c r="I7" s="830"/>
      <c r="J7" s="830"/>
      <c r="K7" s="830"/>
      <c r="L7" s="830"/>
      <c r="AB7" s="561"/>
    </row>
    <row r="8" spans="1:28">
      <c r="A8" s="559"/>
      <c r="B8" s="764" t="s">
        <v>0</v>
      </c>
      <c r="C8" s="831">
        <f>IF(ISNUMBER(INDEX(Database!$G$6:$G$197, MATCH($B8&amp;"USD bn", Database!$AD$6:$AD$197, 0))), INDEX(Database!$G$6:$G$197, MATCH($B8&amp;"USD bn", Database!$AD$6:$AD$197, 0)), "")</f>
        <v>249.72579708899613</v>
      </c>
      <c r="D8" s="832">
        <f>IF(ISNUMBER(INDEX(Database!$H$6:$H$197, MATCH($B8&amp;"USD bn", Database!$AD$6:$AD$197, 0))), INDEX(Database!$H$6:$H$197, MATCH($B8&amp;"USD bn", Database!$AD$6:$AD$197, 0)), "")</f>
        <v>13.808448829914081</v>
      </c>
      <c r="E8" s="832">
        <f>IF(ISNUMBER(INDEX(Database!$J$6:$J$197, MATCH($B8&amp;"USD bn", Database!$AD$6:$AD$197, 0))), INDEX(Database!$J$6:$J$197, MATCH($B8&amp;"USD bn", Database!$AD$6:$AD$197, 0)), "")</f>
        <v>235.91734825908208</v>
      </c>
      <c r="F8" s="833" t="str">
        <f>IF(ISNUMBER(INDEX(Database!$L$6:$L$197, MATCH($B8&amp;"USD bn", Database!$AD$6:$AD$197, 0))), INDEX(Database!$L$6:$L$197, MATCH($B8&amp;"USD bn", Database!$AD$6:$AD$197, 0)), "")</f>
        <v/>
      </c>
      <c r="G8" s="832"/>
      <c r="H8" s="831">
        <f>IF(ISNUMBER(INDEX(Database!$P$6:$P$197, MATCH($B8&amp;"USD bn", Database!$AD$6:$AD$197, 0))), INDEX(Database!$P$6:$P$197, MATCH($B8&amp;"USD bn", Database!$AD$6:$AD$197, 0)), "")</f>
        <v>24.164785452349641</v>
      </c>
      <c r="I8" s="832">
        <f>IF(ISNUMBER(INDEX(Database!$Q$6:$Q$197, MATCH($B8&amp;"USD bn", Database!$AD$6:$AD$197, 0))), INDEX(Database!$Q$6:$Q$197, MATCH($B8&amp;"USD bn", Database!$AD$6:$AD$197, 0)), "")</f>
        <v>10.356336622435562</v>
      </c>
      <c r="J8" s="832"/>
      <c r="K8" s="832">
        <f>IF(ISNUMBER(INDEX(Database!$U$6:$U$197, MATCH($B8&amp;"USD bn", Database!$AD$6:$AD$197, 0))), INDEX(Database!$U$6:$U$197, MATCH($B8&amp;"USD bn", Database!$AD$6:$AD$197, 0)), "")</f>
        <v>13.808448829914079</v>
      </c>
      <c r="L8" s="832" t="str">
        <f>IF(ISNUMBER(INDEX(Database!$W$6:$W$197, MATCH($B8&amp;"USD bn", Database!$AD$6:$AD$197, 0))), INDEX(Database!$W$6:$W$197, MATCH($B8&amp;"USD bn", Database!$AD$6:$AD$197, 0)), "")</f>
        <v/>
      </c>
      <c r="M8" s="834"/>
      <c r="N8" s="834"/>
      <c r="O8" s="835">
        <f>IF(ISNUMBER(INDEX(Database!$G$6:$G$197, MATCH($B8&amp;"% GDP", Database!$AD$6:$AD$197, 0))), INDEX(Database!$G$6:$G$197, MATCH($B8&amp;"% GDP", Database!$AD$6:$AD$197, 0)), "")</f>
        <v>18.370673152863606</v>
      </c>
      <c r="P8" s="836">
        <f>IF(ISNUMBER(INDEX(Database!$H$6:$H$197, MATCH($B8&amp;"% GDP", Database!$AD$6:$AD$197, 0))), INDEX(Database!$H$6:$H$197, MATCH($B8&amp;"% GDP", Database!$AD$6:$AD$197, 0)), "")</f>
        <v>1.0157961378415044</v>
      </c>
      <c r="Q8" s="836">
        <f>IF(ISNUMBER(INDEX(Database!$J$6:$J$197, MATCH($B8&amp;"% GDP", Database!$AD$6:$AD$197, 0))), INDEX(Database!$J$6:$J$197, MATCH($B8&amp;"% GDP", Database!$AD$6:$AD$197, 0)), "")</f>
        <v>17.354877015022101</v>
      </c>
      <c r="R8" s="836" t="str">
        <f>IF(ISNUMBER(INDEX(Database!$L$6:$L$197, MATCH($B8&amp;"% GDP", Database!$AD$6:$AD$197, 0))), INDEX(Database!$L$6:$L$197, MATCH($B8&amp;"% GDP", Database!$AD$6:$AD$197, 0)), "")</f>
        <v/>
      </c>
      <c r="S8" s="836"/>
      <c r="T8" s="835">
        <f>IF(ISNUMBER(INDEX(Database!$P$6:$P$197, MATCH($B8&amp;"% GDP", Database!$AD$6:$AD$197, 0))), INDEX(Database!$P$6:$P$197, MATCH($B8&amp;"% GDP", Database!$AD$6:$AD$197, 0)), "")</f>
        <v>1.7776432412226328</v>
      </c>
      <c r="U8" s="836">
        <f>IF(ISNUMBER(INDEX(Database!$Q$6:$Q$197, MATCH($B8&amp;"% GDP", Database!$AD$6:$AD$197, 0))), INDEX(Database!$Q$6:$Q$197, MATCH($B8&amp;"% GDP", Database!$AD$6:$AD$197, 0)), "")</f>
        <v>0.76184710338112827</v>
      </c>
      <c r="V8" s="836"/>
      <c r="W8" s="836">
        <f>IF(ISNUMBER(INDEX(Database!$U$6:$U$197, MATCH($B8&amp;"% GDP", Database!$AD$6:$AD$197, 0))), INDEX(Database!$U$6:$U$197, MATCH($B8&amp;"% GDP", Database!$AD$6:$AD$197, 0)), "")</f>
        <v>1.0157961378415044</v>
      </c>
      <c r="X8" s="836" t="str">
        <f>IF(ISNUMBER(INDEX(Database!$W$6:$W$197, MATCH($B8&amp;"% GDP", Database!$AD$6:$AD$197, 0))), INDEX(Database!$W$6:$W$197, MATCH($B8&amp;"% GDP", Database!$AD$6:$AD$197, 0)), "")</f>
        <v/>
      </c>
      <c r="AB8" s="562"/>
    </row>
    <row r="9" spans="1:28">
      <c r="A9" s="559"/>
      <c r="B9" s="764" t="s">
        <v>1</v>
      </c>
      <c r="C9" s="831">
        <f>IF(ISNUMBER(INDEX(Database!$G$6:$G$197, MATCH($B9&amp;"USD bn", Database!$AD$6:$AD$197, 0))), INDEX(Database!$G$6:$G$197, MATCH($B9&amp;"USD bn", Database!$AD$6:$AD$197, 0)), "")</f>
        <v>261.78973301959445</v>
      </c>
      <c r="D9" s="832">
        <f>IF(ISNUMBER(INDEX(Database!$H$6:$H$197, MATCH($B9&amp;"USD bn", Database!$AD$6:$AD$197, 0))), INDEX(Database!$H$6:$H$197, MATCH($B9&amp;"USD bn", Database!$AD$6:$AD$197, 0)), "")</f>
        <v>45.632388666474455</v>
      </c>
      <c r="E9" s="832">
        <f>IF(ISNUMBER(INDEX(Database!$J$6:$J$197, MATCH($B9&amp;"USD bn", Database!$AD$6:$AD$197, 0))), INDEX(Database!$J$6:$J$197, MATCH($B9&amp;"USD bn", Database!$AD$6:$AD$197, 0)), "")</f>
        <v>216.15734435311998</v>
      </c>
      <c r="F9" s="833">
        <f>IF(ISNUMBER(INDEX(Database!$L$6:$L$197, MATCH($B9&amp;"USD bn", Database!$AD$6:$AD$197, 0))), INDEX(Database!$L$6:$L$197, MATCH($B9&amp;"USD bn", Database!$AD$6:$AD$197, 0)), "")</f>
        <v>68.027303732528338</v>
      </c>
      <c r="G9" s="832"/>
      <c r="H9" s="831">
        <f>IF(ISNUMBER(INDEX(Database!$P$6:$P$197, MATCH($B9&amp;"USD bn", Database!$AD$6:$AD$197, 0))), INDEX(Database!$P$6:$P$197, MATCH($B9&amp;"USD bn", Database!$AD$6:$AD$197, 0)), "")</f>
        <v>64.944134850488979</v>
      </c>
      <c r="I9" s="832">
        <f>IF(ISNUMBER(INDEX(Database!$Q$6:$Q$197, MATCH($B9&amp;"USD bn", Database!$AD$6:$AD$197, 0))), INDEX(Database!$Q$6:$Q$197, MATCH($B9&amp;"USD bn", Database!$AD$6:$AD$197, 0)), "")</f>
        <v>3.8772617821187447</v>
      </c>
      <c r="J9" s="832"/>
      <c r="K9" s="832">
        <f>IF(ISNUMBER(INDEX(Database!$U$6:$U$197, MATCH($B9&amp;"USD bn", Database!$AD$6:$AD$197, 0))), INDEX(Database!$U$6:$U$197, MATCH($B9&amp;"USD bn", Database!$AD$6:$AD$197, 0)), "")</f>
        <v>61.066873068370228</v>
      </c>
      <c r="L9" s="832" t="str">
        <f>IF(ISNUMBER(INDEX(Database!$W$6:$W$197, MATCH($B9&amp;"USD bn", Database!$AD$6:$AD$197, 0))), INDEX(Database!$W$6:$W$197, MATCH($B9&amp;"USD bn", Database!$AD$6:$AD$197, 0)), "")</f>
        <v/>
      </c>
      <c r="M9" s="834"/>
      <c r="N9" s="834"/>
      <c r="O9" s="835">
        <f>IF(ISNUMBER(INDEX(Database!$G$6:$G$197, MATCH($B9&amp;"% GDP", Database!$AD$6:$AD$197, 0))), INDEX(Database!$G$6:$G$197, MATCH($B9&amp;"% GDP", Database!$AD$6:$AD$197, 0)), "")</f>
        <v>15.923588544631171</v>
      </c>
      <c r="P9" s="836">
        <f>IF(ISNUMBER(INDEX(Database!$H$6:$H$197, MATCH($B9&amp;"% GDP", Database!$AD$6:$AD$197, 0))), INDEX(Database!$H$6:$H$197, MATCH($B9&amp;"% GDP", Database!$AD$6:$AD$197, 0)), "")</f>
        <v>2.77562978903853</v>
      </c>
      <c r="Q9" s="836">
        <f>IF(ISNUMBER(INDEX(Database!$J$6:$J$197, MATCH($B9&amp;"% GDP", Database!$AD$6:$AD$197, 0))), INDEX(Database!$J$6:$J$197, MATCH($B9&amp;"% GDP", Database!$AD$6:$AD$197, 0)), "")</f>
        <v>13.147958755592642</v>
      </c>
      <c r="R9" s="836">
        <f>IF(ISNUMBER(INDEX(Database!$L$6:$L$197, MATCH($B9&amp;"% GDP", Database!$AD$6:$AD$197, 0))), INDEX(Database!$L$6:$L$197, MATCH($B9&amp;"% GDP", Database!$AD$6:$AD$197, 0)), "")</f>
        <v>3.8595767164571715</v>
      </c>
      <c r="S9" s="836"/>
      <c r="T9" s="835">
        <f>IF(ISNUMBER(INDEX(Database!$P$6:$P$197, MATCH($B9&amp;"% GDP", Database!$AD$6:$AD$197, 0))), INDEX(Database!$P$6:$P$197, MATCH($B9&amp;"% GDP", Database!$AD$6:$AD$197, 0)), "")</f>
        <v>3.9502835723081042</v>
      </c>
      <c r="U9" s="836">
        <f>IF(ISNUMBER(INDEX(Database!$Q$6:$Q$197, MATCH($B9&amp;"% GDP", Database!$AD$6:$AD$197, 0))), INDEX(Database!$Q$6:$Q$197, MATCH($B9&amp;"% GDP", Database!$AD$6:$AD$197, 0)), "")</f>
        <v>0.23583782521242411</v>
      </c>
      <c r="V9" s="836"/>
      <c r="W9" s="836">
        <f>IF(ISNUMBER(INDEX(Database!$U$6:$U$197, MATCH($B9&amp;"% GDP", Database!$AD$6:$AD$197, 0))), INDEX(Database!$U$6:$U$197, MATCH($B9&amp;"% GDP", Database!$AD$6:$AD$197, 0)), "")</f>
        <v>3.71444574709568</v>
      </c>
      <c r="X9" s="836" t="str">
        <f>IF(ISNUMBER(INDEX(Database!$W$6:$W$197, MATCH($B9&amp;"% GDP", Database!$AD$6:$AD$197, 0))), INDEX(Database!$W$6:$W$197, MATCH($B9&amp;"% GDP", Database!$AD$6:$AD$197, 0)), "")</f>
        <v/>
      </c>
      <c r="AB9" s="562"/>
    </row>
    <row r="10" spans="1:28">
      <c r="A10" s="559"/>
      <c r="B10" s="764" t="s">
        <v>430</v>
      </c>
      <c r="C10" s="831">
        <f>IF(ISNUMBER(INDEX(Database!$G$6:$G$197, MATCH($B10&amp;"USD bn", Database!$AD$6:$AD$197, 0))), INDEX(Database!$G$6:$G$197, MATCH($B10&amp;"USD bn", Database!$AD$6:$AD$197, 0)), "")</f>
        <v>488.29744352478542</v>
      </c>
      <c r="D10" s="832">
        <f>IF(ISNUMBER(INDEX(Database!$H$6:$H$197, MATCH($B10&amp;"USD bn", Database!$AD$6:$AD$197, 0))), INDEX(Database!$H$6:$H$197, MATCH($B10&amp;"USD bn", Database!$AD$6:$AD$197, 0)), "")</f>
        <v>5.706409296772063E-2</v>
      </c>
      <c r="E10" s="832">
        <f>IF(ISNUMBER(INDEX(Database!$J$6:$J$197, MATCH($B10&amp;"USD bn", Database!$AD$6:$AD$197, 0))), INDEX(Database!$J$6:$J$197, MATCH($B10&amp;"USD bn", Database!$AD$6:$AD$197, 0)), "")</f>
        <v>488.2403794318177</v>
      </c>
      <c r="F10" s="833" t="str">
        <f>IF(ISNUMBER(INDEX(Database!$L$6:$L$197, MATCH($B10&amp;"USD bn", Database!$AD$6:$AD$197, 0))), INDEX(Database!$L$6:$L$197, MATCH($B10&amp;"USD bn", Database!$AD$6:$AD$197, 0)), "")</f>
        <v/>
      </c>
      <c r="G10" s="832"/>
      <c r="H10" s="831">
        <f>IF(ISNUMBER(INDEX(Database!$P$6:$P$197, MATCH($B10&amp;"USD bn", Database!$AD$6:$AD$197, 0))), INDEX(Database!$P$6:$P$197, MATCH($B10&amp;"USD bn", Database!$AD$6:$AD$197, 0)), "")</f>
        <v>873.0806224061256</v>
      </c>
      <c r="I10" s="832">
        <f>IF(ISNUMBER(INDEX(Database!$Q$6:$Q$197, MATCH($B10&amp;"USD bn", Database!$AD$6:$AD$197, 0))), INDEX(Database!$Q$6:$Q$197, MATCH($B10&amp;"USD bn", Database!$AD$6:$AD$197, 0)), "")</f>
        <v>798.89730154808876</v>
      </c>
      <c r="J10" s="832"/>
      <c r="K10" s="832">
        <f>IF(ISNUMBER(INDEX(Database!$U$6:$U$197, MATCH($B10&amp;"USD bn", Database!$AD$6:$AD$197, 0))), INDEX(Database!$U$6:$U$197, MATCH($B10&amp;"USD bn", Database!$AD$6:$AD$197, 0)), "")</f>
        <v>74.183320858036808</v>
      </c>
      <c r="L10" s="832" t="str">
        <f>IF(ISNUMBER(INDEX(Database!$W$6:$W$197, MATCH($B10&amp;"USD bn", Database!$AD$6:$AD$197, 0))), INDEX(Database!$W$6:$W$197, MATCH($B10&amp;"USD bn", Database!$AD$6:$AD$197, 0)), "")</f>
        <v/>
      </c>
      <c r="M10" s="834"/>
      <c r="N10" s="834"/>
      <c r="O10" s="835">
        <f>IF(ISNUMBER(INDEX(Database!$G$6:$G$197, MATCH($B10&amp;"% GDP", Database!$AD$6:$AD$197, 0))), INDEX(Database!$G$6:$G$197, MATCH($B10&amp;"% GDP", Database!$AD$6:$AD$197, 0)), "")</f>
        <v>3.7559632555567588</v>
      </c>
      <c r="P10" s="836">
        <f>IF(ISNUMBER(INDEX(Database!$H$6:$H$197, MATCH($B10&amp;"% GDP", Database!$AD$6:$AD$197, 0))), INDEX(Database!$H$6:$H$197, MATCH($B10&amp;"% GDP", Database!$AD$6:$AD$197, 0)), "")</f>
        <v>4.3893458636867576E-4</v>
      </c>
      <c r="Q10" s="836">
        <f>IF(ISNUMBER(INDEX(Database!$J$6:$J$197, MATCH($B10&amp;"% GDP", Database!$AD$6:$AD$197, 0))), INDEX(Database!$J$6:$J$197, MATCH($B10&amp;"% GDP", Database!$AD$6:$AD$197, 0)), "")</f>
        <v>3.7555243209703901</v>
      </c>
      <c r="R10" s="836" t="str">
        <f>IF(ISNUMBER(INDEX(Database!$L$6:$L$197, MATCH($B10&amp;"% GDP", Database!$AD$6:$AD$197, 0))), INDEX(Database!$L$6:$L$197, MATCH($B10&amp;"% GDP", Database!$AD$6:$AD$197, 0)), "")</f>
        <v/>
      </c>
      <c r="S10" s="836"/>
      <c r="T10" s="835">
        <f>IF(ISNUMBER(INDEX(Database!$P$6:$P$197, MATCH($B10&amp;"% GDP", Database!$AD$6:$AD$197, 0))), INDEX(Database!$P$6:$P$197, MATCH($B10&amp;"% GDP", Database!$AD$6:$AD$197, 0)), "")</f>
        <v>6.7156991714407397</v>
      </c>
      <c r="U10" s="836">
        <f>IF(ISNUMBER(INDEX(Database!$Q$6:$Q$197, MATCH($B10&amp;"% GDP", Database!$AD$6:$AD$197, 0))), INDEX(Database!$Q$6:$Q$197, MATCH($B10&amp;"% GDP", Database!$AD$6:$AD$197, 0)), "")</f>
        <v>6.1450842091614613</v>
      </c>
      <c r="V10" s="836"/>
      <c r="W10" s="836">
        <f>IF(ISNUMBER(INDEX(Database!$U$6:$U$197, MATCH($B10&amp;"% GDP", Database!$AD$6:$AD$197, 0))), INDEX(Database!$U$6:$U$197, MATCH($B10&amp;"% GDP", Database!$AD$6:$AD$197, 0)), "")</f>
        <v>0.57061496227927855</v>
      </c>
      <c r="X10" s="836" t="str">
        <f>IF(ISNUMBER(INDEX(Database!$W$6:$W$197, MATCH($B10&amp;"% GDP", Database!$AD$6:$AD$197, 0))), INDEX(Database!$W$6:$W$197, MATCH($B10&amp;"% GDP", Database!$AD$6:$AD$197, 0)), "")</f>
        <v/>
      </c>
      <c r="AB10" s="562"/>
    </row>
    <row r="11" spans="1:28">
      <c r="A11" s="559"/>
      <c r="B11" s="764" t="s">
        <v>2</v>
      </c>
      <c r="C11" s="831">
        <f>IF(ISNUMBER(INDEX(Database!$G$6:$G$197, MATCH($B11&amp;"USD bn", Database!$AD$6:$AD$197, 0))), INDEX(Database!$G$6:$G$197, MATCH($B11&amp;"USD bn", Database!$AD$6:$AD$197, 0)), "")</f>
        <v>252.88463784604201</v>
      </c>
      <c r="D11" s="832">
        <f>IF(ISNUMBER(INDEX(Database!$H$6:$H$197, MATCH($B11&amp;"USD bn", Database!$AD$6:$AD$197, 0))), INDEX(Database!$H$6:$H$197, MATCH($B11&amp;"USD bn", Database!$AD$6:$AD$197, 0)), "")</f>
        <v>38.633570180174964</v>
      </c>
      <c r="E11" s="832">
        <f>IF(ISNUMBER(INDEX(Database!$J$6:$J$197, MATCH($B11&amp;"USD bn", Database!$AD$6:$AD$197, 0))), INDEX(Database!$J$6:$J$197, MATCH($B11&amp;"USD bn", Database!$AD$6:$AD$197, 0)), "")</f>
        <v>214.25106766586705</v>
      </c>
      <c r="F11" s="833">
        <f>IF(ISNUMBER(INDEX(Database!$L$6:$L$197, MATCH($B11&amp;"USD bn", Database!$AD$6:$AD$197, 0))), INDEX(Database!$L$6:$L$197, MATCH($B11&amp;"USD bn", Database!$AD$6:$AD$197, 0)), "")</f>
        <v>79.204517036051911</v>
      </c>
      <c r="G11" s="832"/>
      <c r="H11" s="831">
        <f>IF(ISNUMBER(INDEX(Database!$P$6:$P$197, MATCH($B11&amp;"USD bn", Database!$AD$6:$AD$197, 0))), INDEX(Database!$P$6:$P$197, MATCH($B11&amp;"USD bn", Database!$AD$6:$AD$197, 0)), "")</f>
        <v>399.21355852847461</v>
      </c>
      <c r="I11" s="832">
        <f>IF(ISNUMBER(INDEX(Database!$Q$6:$Q$197, MATCH($B11&amp;"USD bn", Database!$AD$6:$AD$197, 0))), INDEX(Database!$Q$6:$Q$197, MATCH($B11&amp;"USD bn", Database!$AD$6:$AD$197, 0)), "")</f>
        <v>18.006206750642018</v>
      </c>
      <c r="J11" s="832"/>
      <c r="K11" s="832">
        <f>IF(ISNUMBER(INDEX(Database!$U$6:$U$197, MATCH($B11&amp;"USD bn", Database!$AD$6:$AD$197, 0))), INDEX(Database!$U$6:$U$197, MATCH($B11&amp;"USD bn", Database!$AD$6:$AD$197, 0)), "")</f>
        <v>381.20735177783257</v>
      </c>
      <c r="L11" s="832" t="str">
        <f>IF(ISNUMBER(INDEX(Database!$W$6:$W$197, MATCH($B11&amp;"USD bn", Database!$AD$6:$AD$197, 0))), INDEX(Database!$W$6:$W$197, MATCH($B11&amp;"USD bn", Database!$AD$6:$AD$197, 0)), "")</f>
        <v/>
      </c>
      <c r="M11" s="834"/>
      <c r="N11" s="834"/>
      <c r="O11" s="835">
        <f>IF(ISNUMBER(INDEX(Database!$G$6:$G$197, MATCH($B11&amp;"% GDP", Database!$AD$6:$AD$197, 0))), INDEX(Database!$G$6:$G$197, MATCH($B11&amp;"% GDP", Database!$AD$6:$AD$197, 0)), "")</f>
        <v>9.6358441242628725</v>
      </c>
      <c r="P11" s="836">
        <f>IF(ISNUMBER(INDEX(Database!$H$6:$H$197, MATCH($B11&amp;"% GDP", Database!$AD$6:$AD$197, 0))), INDEX(Database!$H$6:$H$197, MATCH($B11&amp;"% GDP", Database!$AD$6:$AD$197, 0)), "")</f>
        <v>1.4720825408405198</v>
      </c>
      <c r="Q11" s="836">
        <f>IF(ISNUMBER(INDEX(Database!$J$6:$J$197, MATCH($B11&amp;"% GDP", Database!$AD$6:$AD$197, 0))), INDEX(Database!$J$6:$J$197, MATCH($B11&amp;"% GDP", Database!$AD$6:$AD$197, 0)), "")</f>
        <v>8.1637615834223514</v>
      </c>
      <c r="R11" s="836">
        <f>IF(ISNUMBER(INDEX(Database!$L$6:$L$197, MATCH($B11&amp;"% GDP", Database!$AD$6:$AD$197, 0))), INDEX(Database!$L$6:$L$197, MATCH($B11&amp;"% GDP", Database!$AD$6:$AD$197, 0)), "")</f>
        <v>3.017986330041774</v>
      </c>
      <c r="S11" s="836"/>
      <c r="T11" s="835">
        <f>IF(ISNUMBER(INDEX(Database!$P$6:$P$197, MATCH($B11&amp;"% GDP", Database!$AD$6:$AD$197, 0))), INDEX(Database!$P$6:$P$197, MATCH($B11&amp;"% GDP", Database!$AD$6:$AD$197, 0)), "")</f>
        <v>15.211519588685375</v>
      </c>
      <c r="U11" s="836">
        <f>IF(ISNUMBER(INDEX(Database!$Q$6:$Q$197, MATCH($B11&amp;"% GDP", Database!$AD$6:$AD$197, 0))), INDEX(Database!$Q$6:$Q$197, MATCH($B11&amp;"% GDP", Database!$AD$6:$AD$197, 0)), "")</f>
        <v>0.68610336711741049</v>
      </c>
      <c r="V11" s="836"/>
      <c r="W11" s="836">
        <f>IF(ISNUMBER(INDEX(Database!$U$6:$U$197, MATCH($B11&amp;"% GDP", Database!$AD$6:$AD$197, 0))), INDEX(Database!$U$6:$U$197, MATCH($B11&amp;"% GDP", Database!$AD$6:$AD$197, 0)), "")</f>
        <v>14.525416221567964</v>
      </c>
      <c r="X11" s="836" t="str">
        <f>IF(ISNUMBER(INDEX(Database!$W$6:$W$197, MATCH($B11&amp;"% GDP", Database!$AD$6:$AD$197, 0))), INDEX(Database!$W$6:$W$197, MATCH($B11&amp;"% GDP", Database!$AD$6:$AD$197, 0)), "")</f>
        <v/>
      </c>
      <c r="AB11" s="562"/>
    </row>
    <row r="12" spans="1:28">
      <c r="A12" s="559"/>
      <c r="B12" s="764" t="s">
        <v>3</v>
      </c>
      <c r="C12" s="831">
        <f>IF(ISNUMBER(INDEX(Database!$G$6:$G$197, MATCH($B12&amp;"USD bn", Database!$AD$6:$AD$197, 0))), INDEX(Database!$G$6:$G$197, MATCH($B12&amp;"USD bn", Database!$AD$6:$AD$197, 0)), "")</f>
        <v>588.90143942687689</v>
      </c>
      <c r="D12" s="832">
        <f>IF(ISNUMBER(INDEX(Database!$H$6:$H$197, MATCH($B12&amp;"USD bn", Database!$AD$6:$AD$197, 0))), INDEX(Database!$H$6:$H$197, MATCH($B12&amp;"USD bn", Database!$AD$6:$AD$197, 0)), "")</f>
        <v>69.618193420619164</v>
      </c>
      <c r="E12" s="832">
        <f>IF(ISNUMBER(INDEX(Database!$J$6:$J$197, MATCH($B12&amp;"USD bn", Database!$AD$6:$AD$197, 0))), INDEX(Database!$J$6:$J$197, MATCH($B12&amp;"USD bn", Database!$AD$6:$AD$197, 0)), "")</f>
        <v>519.28324600625774</v>
      </c>
      <c r="F12" s="833" t="str">
        <f>IF(ISNUMBER(INDEX(Database!$L$6:$L$197, MATCH($B12&amp;"USD bn", Database!$AD$6:$AD$197, 0))), INDEX(Database!$L$6:$L$197, MATCH($B12&amp;"USD bn", Database!$AD$6:$AD$197, 0)), "")</f>
        <v/>
      </c>
      <c r="G12" s="832"/>
      <c r="H12" s="831">
        <f>IF(ISNUMBER(INDEX(Database!$P$6:$P$197, MATCH($B12&amp;"USD bn", Database!$AD$6:$AD$197, 0))), INDEX(Database!$P$6:$P$197, MATCH($B12&amp;"USD bn", Database!$AD$6:$AD$197, 0)), "")</f>
        <v>1057.9682836215404</v>
      </c>
      <c r="I12" s="832">
        <f>IF(ISNUMBER(INDEX(Database!$Q$6:$Q$197, MATCH($B12&amp;"USD bn", Database!$AD$6:$AD$197, 0))), INDEX(Database!$Q$6:$Q$197, MATCH($B12&amp;"USD bn", Database!$AD$6:$AD$197, 0)), "")</f>
        <v>114.12818593544125</v>
      </c>
      <c r="J12" s="832"/>
      <c r="K12" s="832">
        <f>IF(ISNUMBER(INDEX(Database!$U$6:$U$197, MATCH($B12&amp;"USD bn", Database!$AD$6:$AD$197, 0))), INDEX(Database!$U$6:$U$197, MATCH($B12&amp;"USD bn", Database!$AD$6:$AD$197, 0)), "")</f>
        <v>943.84009768609917</v>
      </c>
      <c r="L12" s="832" t="str">
        <f>IF(ISNUMBER(INDEX(Database!$W$6:$W$197, MATCH($B12&amp;"USD bn", Database!$AD$6:$AD$197, 0))), INDEX(Database!$W$6:$W$197, MATCH($B12&amp;"USD bn", Database!$AD$6:$AD$197, 0)), "")</f>
        <v/>
      </c>
      <c r="M12" s="834"/>
      <c r="N12" s="834"/>
      <c r="O12" s="835">
        <f>IF(ISNUMBER(INDEX(Database!$G$6:$G$197, MATCH($B12&amp;"% GDP", Database!$AD$6:$AD$197, 0))), INDEX(Database!$G$6:$G$197, MATCH($B12&amp;"% GDP", Database!$AD$6:$AD$197, 0)), "")</f>
        <v>15.322666856715248</v>
      </c>
      <c r="P12" s="836">
        <f>IF(ISNUMBER(INDEX(Database!$H$6:$H$197, MATCH($B12&amp;"% GDP", Database!$AD$6:$AD$197, 0))), INDEX(Database!$H$6:$H$197, MATCH($B12&amp;"% GDP", Database!$AD$6:$AD$197, 0)), "")</f>
        <v>1.8114005392628492</v>
      </c>
      <c r="Q12" s="836">
        <f>IF(ISNUMBER(INDEX(Database!$J$6:$J$197, MATCH($B12&amp;"% GDP", Database!$AD$6:$AD$197, 0))), INDEX(Database!$J$6:$J$197, MATCH($B12&amp;"% GDP", Database!$AD$6:$AD$197, 0)), "")</f>
        <v>13.638352846668944</v>
      </c>
      <c r="R12" s="836" t="str">
        <f>IF(ISNUMBER(INDEX(Database!$L$6:$L$197, MATCH($B12&amp;"% GDP", Database!$AD$6:$AD$197, 0))), INDEX(Database!$L$6:$L$197, MATCH($B12&amp;"% GDP", Database!$AD$6:$AD$197, 0)), "")</f>
        <v/>
      </c>
      <c r="S12" s="836"/>
      <c r="T12" s="835">
        <f>IF(ISNUMBER(INDEX(Database!$P$6:$P$197, MATCH($B12&amp;"% GDP", Database!$AD$6:$AD$197, 0))), INDEX(Database!$P$6:$P$197, MATCH($B12&amp;"% GDP", Database!$AD$6:$AD$197, 0)), "")</f>
        <v>27.786270524971673</v>
      </c>
      <c r="U12" s="836">
        <f>IF(ISNUMBER(INDEX(Database!$Q$6:$Q$197, MATCH($B12&amp;"% GDP", Database!$AD$6:$AD$197, 0))), INDEX(Database!$Q$6:$Q$197, MATCH($B12&amp;"% GDP", Database!$AD$6:$AD$197, 0)), "")</f>
        <v>2.9974401860810866</v>
      </c>
      <c r="V12" s="836"/>
      <c r="W12" s="836">
        <f>IF(ISNUMBER(INDEX(Database!$U$6:$U$197, MATCH($B12&amp;"% GDP", Database!$AD$6:$AD$197, 0))), INDEX(Database!$U$6:$U$197, MATCH($B12&amp;"% GDP", Database!$AD$6:$AD$197, 0)), "")</f>
        <v>24.788830338890588</v>
      </c>
      <c r="X12" s="836" t="str">
        <f>IF(ISNUMBER(INDEX(Database!$W$6:$W$197, MATCH($B12&amp;"% GDP", Database!$AD$6:$AD$197, 0))), INDEX(Database!$W$6:$W$197, MATCH($B12&amp;"% GDP", Database!$AD$6:$AD$197, 0)), "")</f>
        <v/>
      </c>
      <c r="AB12" s="562"/>
    </row>
    <row r="13" spans="1:28">
      <c r="A13" s="559"/>
      <c r="B13" s="764" t="s">
        <v>4</v>
      </c>
      <c r="C13" s="831">
        <f>IF(ISNUMBER(INDEX(Database!$G$6:$G$197, MATCH($B13&amp;"USD bn", Database!$AD$6:$AD$197, 0))), INDEX(Database!$G$6:$G$197, MATCH($B13&amp;"USD bn", Database!$AD$6:$AD$197, 0)), "")</f>
        <v>205.43073468379424</v>
      </c>
      <c r="D13" s="832">
        <f>IF(ISNUMBER(INDEX(Database!$H$6:$H$197, MATCH($B13&amp;"USD bn", Database!$AD$6:$AD$197, 0))), INDEX(Database!$H$6:$H$197, MATCH($B13&amp;"USD bn", Database!$AD$6:$AD$197, 0)), "")</f>
        <v>22.825637187088251</v>
      </c>
      <c r="E13" s="832">
        <f>IF(ISNUMBER(INDEX(Database!$J$6:$J$197, MATCH($B13&amp;"USD bn", Database!$AD$6:$AD$197, 0))), INDEX(Database!$J$6:$J$197, MATCH($B13&amp;"USD bn", Database!$AD$6:$AD$197, 0)), "")</f>
        <v>182.60509749670601</v>
      </c>
      <c r="F13" s="833">
        <f>IF(ISNUMBER(INDEX(Database!$L$6:$L$197, MATCH($B13&amp;"USD bn", Database!$AD$6:$AD$197, 0))), INDEX(Database!$L$6:$L$197, MATCH($B13&amp;"USD bn", Database!$AD$6:$AD$197, 0)), "")</f>
        <v>7.9889730154808873</v>
      </c>
      <c r="G13" s="832"/>
      <c r="H13" s="831">
        <f>IF(ISNUMBER(INDEX(Database!$P$6:$P$197, MATCH($B13&amp;"USD bn", Database!$AD$6:$AD$197, 0))), INDEX(Database!$P$6:$P$197, MATCH($B13&amp;"USD bn", Database!$AD$6:$AD$197, 0)), "")</f>
        <v>664.51136260910664</v>
      </c>
      <c r="I13" s="832">
        <f>IF(ISNUMBER(INDEX(Database!$Q$6:$Q$197, MATCH($B13&amp;"USD bn", Database!$AD$6:$AD$197, 0))), INDEX(Database!$Q$6:$Q$197, MATCH($B13&amp;"USD bn", Database!$AD$6:$AD$197, 0)), "")</f>
        <v>3.7091660429018405</v>
      </c>
      <c r="J13" s="832"/>
      <c r="K13" s="832">
        <f>IF(ISNUMBER(INDEX(Database!$U$6:$U$197, MATCH($B13&amp;"USD bn", Database!$AD$6:$AD$197, 0))), INDEX(Database!$U$6:$U$197, MATCH($B13&amp;"USD bn", Database!$AD$6:$AD$197, 0)), "")</f>
        <v>660.80219656620488</v>
      </c>
      <c r="L13" s="832" t="str">
        <f>IF(ISNUMBER(INDEX(Database!$W$6:$W$197, MATCH($B13&amp;"USD bn", Database!$AD$6:$AD$197, 0))), INDEX(Database!$W$6:$W$197, MATCH($B13&amp;"USD bn", Database!$AD$6:$AD$197, 0)), "")</f>
        <v/>
      </c>
      <c r="M13" s="834"/>
      <c r="N13" s="834"/>
      <c r="O13" s="835">
        <f>IF(ISNUMBER(INDEX(Database!$G$6:$G$197, MATCH($B13&amp;"% GDP", Database!$AD$6:$AD$197, 0))), INDEX(Database!$G$6:$G$197, MATCH($B13&amp;"% GDP", Database!$AD$6:$AD$197, 0)), "")</f>
        <v>10.898555638640223</v>
      </c>
      <c r="P13" s="836">
        <f>IF(ISNUMBER(INDEX(Database!$H$6:$H$197, MATCH($B13&amp;"% GDP", Database!$AD$6:$AD$197, 0))), INDEX(Database!$H$6:$H$197, MATCH($B13&amp;"% GDP", Database!$AD$6:$AD$197, 0)), "")</f>
        <v>1.2109506265155805</v>
      </c>
      <c r="Q13" s="836">
        <f>IF(ISNUMBER(INDEX(Database!$J$6:$J$197, MATCH($B13&amp;"% GDP", Database!$AD$6:$AD$197, 0))), INDEX(Database!$J$6:$J$197, MATCH($B13&amp;"% GDP", Database!$AD$6:$AD$197, 0)), "")</f>
        <v>9.687605012124644</v>
      </c>
      <c r="R13" s="836">
        <f>IF(ISNUMBER(INDEX(Database!$L$6:$L$197, MATCH($B13&amp;"% GDP", Database!$AD$6:$AD$197, 0))), INDEX(Database!$L$6:$L$197, MATCH($B13&amp;"% GDP", Database!$AD$6:$AD$197, 0)), "")</f>
        <v>0.42383271928045313</v>
      </c>
      <c r="S13" s="836"/>
      <c r="T13" s="835">
        <f>IF(ISNUMBER(INDEX(Database!$P$6:$P$197, MATCH($B13&amp;"% GDP", Database!$AD$6:$AD$197, 0))), INDEX(Database!$P$6:$P$197, MATCH($B13&amp;"% GDP", Database!$AD$6:$AD$197, 0)), "")</f>
        <v>35.253800114434839</v>
      </c>
      <c r="U13" s="836">
        <f>IF(ISNUMBER(INDEX(Database!$Q$6:$Q$197, MATCH($B13&amp;"% GDP", Database!$AD$6:$AD$197, 0))), INDEX(Database!$Q$6:$Q$197, MATCH($B13&amp;"% GDP", Database!$AD$6:$AD$197, 0)), "")</f>
        <v>0.19677947680878183</v>
      </c>
      <c r="V13" s="836"/>
      <c r="W13" s="836">
        <f>IF(ISNUMBER(INDEX(Database!$U$6:$U$197, MATCH($B13&amp;"% GDP", Database!$AD$6:$AD$197, 0))), INDEX(Database!$U$6:$U$197, MATCH($B13&amp;"% GDP", Database!$AD$6:$AD$197, 0)), "")</f>
        <v>35.057020637626053</v>
      </c>
      <c r="X13" s="836" t="str">
        <f>IF(ISNUMBER(INDEX(Database!$W$6:$W$197, MATCH($B13&amp;"% GDP", Database!$AD$6:$AD$197, 0))), INDEX(Database!$W$6:$W$197, MATCH($B13&amp;"% GDP", Database!$AD$6:$AD$197, 0)), "")</f>
        <v/>
      </c>
      <c r="AB13" s="562"/>
    </row>
    <row r="14" spans="1:28">
      <c r="A14" s="559"/>
      <c r="B14" s="764" t="s">
        <v>5</v>
      </c>
      <c r="C14" s="831">
        <f>IF(ISNUMBER(INDEX(Database!$G$6:$G$197, MATCH($B14&amp;"USD bn", Database!$AD$6:$AD$197, 0))), INDEX(Database!$G$6:$G$197, MATCH($B14&amp;"USD bn", Database!$AD$6:$AD$197, 0)), "")</f>
        <v>843.8337860086101</v>
      </c>
      <c r="D14" s="832">
        <f>IF(ISNUMBER(INDEX(Database!$H$6:$H$197, MATCH($B14&amp;"USD bn", Database!$AD$6:$AD$197, 0))), INDEX(Database!$H$6:$H$197, MATCH($B14&amp;"USD bn", Database!$AD$6:$AD$197, 0)), "")</f>
        <v>104.89387795001592</v>
      </c>
      <c r="E14" s="832">
        <f>IF(ISNUMBER(INDEX(Database!$J$6:$J$197, MATCH($B14&amp;"USD bn", Database!$AD$6:$AD$197, 0))), INDEX(Database!$J$6:$J$197, MATCH($B14&amp;"USD bn", Database!$AD$6:$AD$197, 0)), "")</f>
        <v>738.93990805859426</v>
      </c>
      <c r="F14" s="833">
        <f>IF(ISNUMBER(INDEX(Database!$L$6:$L$197, MATCH($B14&amp;"USD bn", Database!$AD$6:$AD$197, 0))), INDEX(Database!$L$6:$L$197, MATCH($B14&amp;"USD bn", Database!$AD$6:$AD$197, 0)), "")</f>
        <v>27.16002196920055</v>
      </c>
      <c r="G14" s="832"/>
      <c r="H14" s="831">
        <f>IF(ISNUMBER(INDEX(Database!$P$6:$P$197, MATCH($B14&amp;"USD bn", Database!$AD$6:$AD$197, 0))), INDEX(Database!$P$6:$P$197, MATCH($B14&amp;"USD bn", Database!$AD$6:$AD$197, 0)), "")</f>
        <v>1429.1790870689667</v>
      </c>
      <c r="I14" s="832" t="str">
        <f>IF(ISNUMBER(INDEX(Database!$Q$6:$Q$197, MATCH($B14&amp;"USD bn", Database!$AD$6:$AD$197, 0))), INDEX(Database!$Q$6:$Q$197, MATCH($B14&amp;"USD bn", Database!$AD$6:$AD$197, 0)), "")</f>
        <v/>
      </c>
      <c r="J14" s="832"/>
      <c r="K14" s="832">
        <f>IF(ISNUMBER(INDEX(Database!$U$6:$U$197, MATCH($B14&amp;"USD bn", Database!$AD$6:$AD$197, 0))), INDEX(Database!$U$6:$U$197, MATCH($B14&amp;"USD bn", Database!$AD$6:$AD$197, 0)), "")</f>
        <v>147.0387396263616</v>
      </c>
      <c r="L14" s="832">
        <f>IF(ISNUMBER(INDEX(Database!$W$6:$W$197, MATCH($B14&amp;"USD bn", Database!$AD$6:$AD$197, 0))), INDEX(Database!$W$6:$W$197, MATCH($B14&amp;"USD bn", Database!$AD$6:$AD$197, 0)), "")</f>
        <v>1282.1403474426052</v>
      </c>
      <c r="M14" s="834"/>
      <c r="N14" s="834"/>
      <c r="O14" s="835">
        <f>IF(ISNUMBER(INDEX(Database!$G$6:$G$197, MATCH($B14&amp;"% GDP", Database!$AD$6:$AD$197, 0))), INDEX(Database!$G$6:$G$197, MATCH($B14&amp;"% GDP", Database!$AD$6:$AD$197, 0)), "")</f>
        <v>16.725807215115971</v>
      </c>
      <c r="P14" s="836">
        <f>IF(ISNUMBER(INDEX(Database!$H$6:$H$197, MATCH($B14&amp;"% GDP", Database!$AD$6:$AD$197, 0))), INDEX(Database!$H$6:$H$197, MATCH($B14&amp;"% GDP", Database!$AD$6:$AD$197, 0)), "")</f>
        <v>2.0791236493817857</v>
      </c>
      <c r="Q14" s="836">
        <f>IF(ISNUMBER(INDEX(Database!$J$6:$J$197, MATCH($B14&amp;"% GDP", Database!$AD$6:$AD$197, 0))), INDEX(Database!$J$6:$J$197, MATCH($B14&amp;"% GDP", Database!$AD$6:$AD$197, 0)), "")</f>
        <v>14.646683565734186</v>
      </c>
      <c r="R14" s="836">
        <f>IF(ISNUMBER(INDEX(Database!$L$6:$L$197, MATCH($B14&amp;"% GDP", Database!$AD$6:$AD$197, 0))), INDEX(Database!$L$6:$L$197, MATCH($B14&amp;"% GDP", Database!$AD$6:$AD$197, 0)), "")</f>
        <v>0.5383445163577838</v>
      </c>
      <c r="S14" s="836"/>
      <c r="T14" s="835">
        <f>IF(ISNUMBER(INDEX(Database!$P$6:$P$197, MATCH($B14&amp;"% GDP", Database!$AD$6:$AD$197, 0))), INDEX(Database!$P$6:$P$197, MATCH($B14&amp;"% GDP", Database!$AD$6:$AD$197, 0)), "")</f>
        <v>28.328059722826826</v>
      </c>
      <c r="U14" s="836" t="str">
        <f>IF(ISNUMBER(INDEX(Database!$Q$6:$Q$197, MATCH($B14&amp;"% GDP", Database!$AD$6:$AD$197, 0))), INDEX(Database!$Q$6:$Q$197, MATCH($B14&amp;"% GDP", Database!$AD$6:$AD$197, 0)), "")</f>
        <v/>
      </c>
      <c r="V14" s="836"/>
      <c r="W14" s="836">
        <f>IF(ISNUMBER(INDEX(Database!$U$6:$U$197, MATCH($B14&amp;"% GDP", Database!$AD$6:$AD$197, 0))), INDEX(Database!$U$6:$U$197, MATCH($B14&amp;"% GDP", Database!$AD$6:$AD$197, 0)), "")</f>
        <v>2.9144858299369676</v>
      </c>
      <c r="X14" s="836">
        <f>IF(ISNUMBER(INDEX(Database!$W$6:$W$197, MATCH($B14&amp;"% GDP", Database!$AD$6:$AD$197, 0))), INDEX(Database!$W$6:$W$197, MATCH($B14&amp;"% GDP", Database!$AD$6:$AD$197, 0)), "")</f>
        <v>25.413573892889861</v>
      </c>
      <c r="AB14" s="562"/>
    </row>
    <row r="15" spans="1:28">
      <c r="A15" s="559"/>
      <c r="B15" s="764" t="s">
        <v>6</v>
      </c>
      <c r="C15" s="831">
        <f>IF(ISNUMBER(INDEX(Database!$G$6:$G$197, MATCH($B15&amp;"USD bn", Database!$AD$6:$AD$197, 0))), INDEX(Database!$G$6:$G$197, MATCH($B15&amp;"USD bn", Database!$AD$6:$AD$197, 0)), "")</f>
        <v>104.83004568682564</v>
      </c>
      <c r="D15" s="832">
        <f>IF(ISNUMBER(INDEX(Database!$H$6:$H$197, MATCH($B15&amp;"USD bn", Database!$AD$6:$AD$197, 0))), INDEX(Database!$H$6:$H$197, MATCH($B15&amp;"USD bn", Database!$AD$6:$AD$197, 0)), "")</f>
        <v>11.949099791303487</v>
      </c>
      <c r="E15" s="832">
        <f>IF(ISNUMBER(INDEX(Database!$J$6:$J$197, MATCH($B15&amp;"USD bn", Database!$AD$6:$AD$197, 0))), INDEX(Database!$J$6:$J$197, MATCH($B15&amp;"USD bn", Database!$AD$6:$AD$197, 0)), "")</f>
        <v>92.880945895522146</v>
      </c>
      <c r="F15" s="833">
        <f>IF(ISNUMBER(INDEX(Database!$L$6:$L$197, MATCH($B15&amp;"USD bn", Database!$AD$6:$AD$197, 0))), INDEX(Database!$L$6:$L$197, MATCH($B15&amp;"USD bn", Database!$AD$6:$AD$197, 0)), "")</f>
        <v>27.965978234965611</v>
      </c>
      <c r="G15" s="832"/>
      <c r="H15" s="831">
        <f>IF(ISNUMBER(INDEX(Database!$P$6:$P$197, MATCH($B15&amp;"USD bn", Database!$AD$6:$AD$197, 0))), INDEX(Database!$P$6:$P$197, MATCH($B15&amp;"USD bn", Database!$AD$6:$AD$197, 0)), "")</f>
        <v>166.01621624938676</v>
      </c>
      <c r="I15" s="832" t="str">
        <f>IF(ISNUMBER(INDEX(Database!$Q$6:$Q$197, MATCH($B15&amp;"USD bn", Database!$AD$6:$AD$197, 0))), INDEX(Database!$Q$6:$Q$197, MATCH($B15&amp;"USD bn", Database!$AD$6:$AD$197, 0)), "")</f>
        <v/>
      </c>
      <c r="J15" s="832"/>
      <c r="K15" s="832">
        <f>IF(ISNUMBER(INDEX(Database!$U$6:$U$197, MATCH($B15&amp;"USD bn", Database!$AD$6:$AD$197, 0))), INDEX(Database!$U$6:$U$197, MATCH($B15&amp;"USD bn", Database!$AD$6:$AD$197, 0)), "")</f>
        <v>60.08448051088066</v>
      </c>
      <c r="L15" s="832">
        <f>IF(ISNUMBER(INDEX(Database!$W$6:$W$197, MATCH($B15&amp;"USD bn", Database!$AD$6:$AD$197, 0))), INDEX(Database!$W$6:$W$197, MATCH($B15&amp;"USD bn", Database!$AD$6:$AD$197, 0)), "")</f>
        <v>105.93173573850609</v>
      </c>
      <c r="M15" s="834"/>
      <c r="N15" s="834"/>
      <c r="O15" s="835">
        <f>IF(ISNUMBER(INDEX(Database!$G$6:$G$197, MATCH($B15&amp;"% GDP", Database!$AD$6:$AD$197, 0))), INDEX(Database!$G$6:$G$197, MATCH($B15&amp;"% GDP", Database!$AD$6:$AD$197, 0)), "")</f>
        <v>6.3988747084813387</v>
      </c>
      <c r="P15" s="836">
        <f>IF(ISNUMBER(INDEX(Database!$H$6:$H$197, MATCH($B15&amp;"% GDP", Database!$AD$6:$AD$197, 0))), INDEX(Database!$H$6:$H$197, MATCH($B15&amp;"% GDP", Database!$AD$6:$AD$197, 0)), "")</f>
        <v>0.7293786046045827</v>
      </c>
      <c r="Q15" s="836">
        <f>IF(ISNUMBER(INDEX(Database!$J$6:$J$197, MATCH($B15&amp;"% GDP", Database!$AD$6:$AD$197, 0))), INDEX(Database!$J$6:$J$197, MATCH($B15&amp;"% GDP", Database!$AD$6:$AD$197, 0)), "")</f>
        <v>5.6694961038767557</v>
      </c>
      <c r="R15" s="836">
        <f>IF(ISNUMBER(INDEX(Database!$L$6:$L$197, MATCH($B15&amp;"% GDP", Database!$AD$6:$AD$197, 0))), INDEX(Database!$L$6:$L$197, MATCH($B15&amp;"% GDP", Database!$AD$6:$AD$197, 0)), "")</f>
        <v>1.7070563086490231</v>
      </c>
      <c r="S15" s="836"/>
      <c r="T15" s="835">
        <f>IF(ISNUMBER(INDEX(Database!$P$6:$P$197, MATCH($B15&amp;"% GDP", Database!$AD$6:$AD$197, 0))), INDEX(Database!$P$6:$P$197, MATCH($B15&amp;"% GDP", Database!$AD$6:$AD$197, 0)), "")</f>
        <v>10.133706995889202</v>
      </c>
      <c r="U15" s="836" t="str">
        <f>IF(ISNUMBER(INDEX(Database!$Q$6:$Q$197, MATCH($B15&amp;"% GDP", Database!$AD$6:$AD$197, 0))), INDEX(Database!$Q$6:$Q$197, MATCH($B15&amp;"% GDP", Database!$AD$6:$AD$197, 0)), "")</f>
        <v/>
      </c>
      <c r="V15" s="836"/>
      <c r="W15" s="836">
        <f>IF(ISNUMBER(INDEX(Database!$U$6:$U$197, MATCH($B15&amp;"% GDP", Database!$AD$6:$AD$197, 0))), INDEX(Database!$U$6:$U$197, MATCH($B15&amp;"% GDP", Database!$AD$6:$AD$197, 0)), "")</f>
        <v>3.6675846146429012</v>
      </c>
      <c r="X15" s="836">
        <f>IF(ISNUMBER(INDEX(Database!$W$6:$W$197, MATCH($B15&amp;"% GDP", Database!$AD$6:$AD$197, 0))), INDEX(Database!$W$6:$W$197, MATCH($B15&amp;"% GDP", Database!$AD$6:$AD$197, 0)), "")</f>
        <v>6.4661223812463007</v>
      </c>
      <c r="AB15" s="562"/>
    </row>
    <row r="16" spans="1:28">
      <c r="A16" s="559"/>
      <c r="B16" s="764" t="s">
        <v>32</v>
      </c>
      <c r="C16" s="831">
        <f>IF(ISNUMBER(INDEX(Database!$G$6:$G$197, MATCH($B16&amp;"USD bn", Database!$AD$6:$AD$197, 0))), INDEX(Database!$G$6:$G$197, MATCH($B16&amp;"USD bn", Database!$AD$6:$AD$197, 0)), "")</f>
        <v>107.45168705821794</v>
      </c>
      <c r="D16" s="832">
        <f>IF(ISNUMBER(INDEX(Database!$H$6:$H$197, MATCH($B16&amp;"USD bn", Database!$AD$6:$AD$197, 0))), INDEX(Database!$H$6:$H$197, MATCH($B16&amp;"USD bn", Database!$AD$6:$AD$197, 0)), "")</f>
        <v>21.924024518198266</v>
      </c>
      <c r="E16" s="832">
        <f>IF(ISNUMBER(INDEX(Database!$J$6:$J$197, MATCH($B16&amp;"USD bn", Database!$AD$6:$AD$197, 0))), INDEX(Database!$J$6:$J$197, MATCH($B16&amp;"USD bn", Database!$AD$6:$AD$197, 0)), "")</f>
        <v>85.527662540019676</v>
      </c>
      <c r="F16" s="833">
        <f>IF(ISNUMBER(INDEX(Database!$L$6:$L$197, MATCH($B16&amp;"USD bn", Database!$AD$6:$AD$197, 0))), INDEX(Database!$L$6:$L$197, MATCH($B16&amp;"USD bn", Database!$AD$6:$AD$197, 0)), "")</f>
        <v>5.1357683670948562E-2</v>
      </c>
      <c r="G16" s="832"/>
      <c r="H16" s="831">
        <f>IF(ISNUMBER(INDEX(Database!$P$6:$P$197, MATCH($B16&amp;"USD bn", Database!$AD$6:$AD$197, 0))), INDEX(Database!$P$6:$P$197, MATCH($B16&amp;"USD bn", Database!$AD$6:$AD$197, 0)), "")</f>
        <v>184.01914572044612</v>
      </c>
      <c r="I16" s="832">
        <f>IF(ISNUMBER(INDEX(Database!$Q$6:$Q$197, MATCH($B16&amp;"USD bn", Database!$AD$6:$AD$197, 0))), INDEX(Database!$Q$6:$Q$197, MATCH($B16&amp;"USD bn", Database!$AD$6:$AD$197, 0)), "")</f>
        <v>0.72927910812746966</v>
      </c>
      <c r="J16" s="832"/>
      <c r="K16" s="832">
        <f>IF(ISNUMBER(INDEX(Database!$U$6:$U$197, MATCH($B16&amp;"USD bn", Database!$AD$6:$AD$197, 0))), INDEX(Database!$U$6:$U$197, MATCH($B16&amp;"USD bn", Database!$AD$6:$AD$197, 0)), "")</f>
        <v>171.87704801877453</v>
      </c>
      <c r="L16" s="832">
        <f>IF(ISNUMBER(INDEX(Database!$W$6:$W$197, MATCH($B16&amp;"USD bn", Database!$AD$6:$AD$197, 0))), INDEX(Database!$W$6:$W$197, MATCH($B16&amp;"USD bn", Database!$AD$6:$AD$197, 0)), "")</f>
        <v>11.412818593544126</v>
      </c>
      <c r="M16" s="834"/>
      <c r="N16" s="834"/>
      <c r="O16" s="835">
        <f>IF(ISNUMBER(INDEX(Database!$G$6:$G$197, MATCH($B16&amp;"% GDP", Database!$AD$6:$AD$197, 0))), INDEX(Database!$G$6:$G$197, MATCH($B16&amp;"% GDP", Database!$AD$6:$AD$197, 0)), "")</f>
        <v>8.3916545151825215</v>
      </c>
      <c r="P16" s="836">
        <f>IF(ISNUMBER(INDEX(Database!$H$6:$H$197, MATCH($B16&amp;"% GDP", Database!$AD$6:$AD$197, 0))), INDEX(Database!$H$6:$H$197, MATCH($B16&amp;"% GDP", Database!$AD$6:$AD$197, 0)), "")</f>
        <v>1.7122005654451007</v>
      </c>
      <c r="Q16" s="836">
        <f>IF(ISNUMBER(INDEX(Database!$J$6:$J$197, MATCH($B16&amp;"% GDP", Database!$AD$6:$AD$197, 0))), INDEX(Database!$J$6:$J$197, MATCH($B16&amp;"% GDP", Database!$AD$6:$AD$197, 0)), "")</f>
        <v>6.6794539497374199</v>
      </c>
      <c r="R16" s="836">
        <f>IF(ISNUMBER(INDEX(Database!$L$6:$L$197, MATCH($B16&amp;"% GDP", Database!$AD$6:$AD$197, 0))), INDEX(Database!$L$6:$L$197, MATCH($B16&amp;"% GDP", Database!$AD$6:$AD$197, 0)), "")</f>
        <v>4.010881074702214E-3</v>
      </c>
      <c r="S16" s="836"/>
      <c r="T16" s="835">
        <f>IF(ISNUMBER(INDEX(Database!$P$6:$P$197, MATCH($B16&amp;"% GDP", Database!$AD$6:$AD$197, 0))), INDEX(Database!$P$6:$P$197, MATCH($B16&amp;"% GDP", Database!$AD$6:$AD$197, 0)), "")</f>
        <v>14.371343413420227</v>
      </c>
      <c r="U16" s="836">
        <f>IF(ISNUMBER(INDEX(Database!$Q$6:$Q$197, MATCH($B16&amp;"% GDP", Database!$AD$6:$AD$197, 0))), INDEX(Database!$Q$6:$Q$197, MATCH($B16&amp;"% GDP", Database!$AD$6:$AD$197, 0)), "")</f>
        <v>5.6954511260771438E-2</v>
      </c>
      <c r="V16" s="836"/>
      <c r="W16" s="836">
        <f>IF(ISNUMBER(INDEX(Database!$U$6:$U$197, MATCH($B16&amp;"% GDP", Database!$AD$6:$AD$197, 0))), INDEX(Database!$U$6:$U$197, MATCH($B16&amp;"% GDP", Database!$AD$6:$AD$197, 0)), "")</f>
        <v>13.423081996670074</v>
      </c>
      <c r="X16" s="836">
        <f>IF(ISNUMBER(INDEX(Database!$W$6:$W$197, MATCH($B16&amp;"% GDP", Database!$AD$6:$AD$197, 0))), INDEX(Database!$W$6:$W$197, MATCH($B16&amp;"% GDP", Database!$AD$6:$AD$197, 0)), "")</f>
        <v>0.89130690548938096</v>
      </c>
      <c r="AB16" s="562"/>
    </row>
    <row r="17" spans="1:28">
      <c r="A17" s="559"/>
      <c r="B17" s="764" t="s">
        <v>7</v>
      </c>
      <c r="C17" s="831">
        <f>IF(ISNUMBER(INDEX(Database!$G$6:$G$197, MATCH($B17&amp;"USD bn", Database!$AD$6:$AD$197, 0))), INDEX(Database!$G$6:$G$197, MATCH($B17&amp;"USD bn", Database!$AD$6:$AD$197, 0)), "")</f>
        <v>522.16796884260248</v>
      </c>
      <c r="D17" s="832">
        <f>IF(ISNUMBER(INDEX(Database!$H$6:$H$197, MATCH($B17&amp;"USD bn", Database!$AD$6:$AD$197, 0))), INDEX(Database!$H$6:$H$197, MATCH($B17&amp;"USD bn", Database!$AD$6:$AD$197, 0)), "")</f>
        <v>130.8627342062542</v>
      </c>
      <c r="E17" s="832">
        <f>IF(ISNUMBER(INDEX(Database!$J$6:$J$197, MATCH($B17&amp;"USD bn", Database!$AD$6:$AD$197, 0))), INDEX(Database!$J$6:$J$197, MATCH($B17&amp;"USD bn", Database!$AD$6:$AD$197, 0)), "")</f>
        <v>391.30523463634825</v>
      </c>
      <c r="F17" s="833">
        <f>IF(ISNUMBER(INDEX(Database!$L$6:$L$197, MATCH($B17&amp;"USD bn", Database!$AD$6:$AD$197, 0))), INDEX(Database!$L$6:$L$197, MATCH($B17&amp;"USD bn", Database!$AD$6:$AD$197, 0)), "")</f>
        <v>16.03709978017821</v>
      </c>
      <c r="G17" s="832"/>
      <c r="H17" s="831">
        <f>IF(ISNUMBER(INDEX(Database!$P$6:$P$197, MATCH($B17&amp;"USD bn", Database!$AD$6:$AD$197, 0))), INDEX(Database!$P$6:$P$197, MATCH($B17&amp;"USD bn", Database!$AD$6:$AD$197, 0)), "")</f>
        <v>452.92618683170508</v>
      </c>
      <c r="I17" s="832">
        <f>IF(ISNUMBER(INDEX(Database!$Q$6:$Q$197, MATCH($B17&amp;"USD bn", Database!$AD$6:$AD$197, 0))), INDEX(Database!$Q$6:$Q$197, MATCH($B17&amp;"USD bn", Database!$AD$6:$AD$197, 0)), "")</f>
        <v>1.3214570218866846</v>
      </c>
      <c r="J17" s="832"/>
      <c r="K17" s="832">
        <f>IF(ISNUMBER(INDEX(Database!$U$6:$U$197, MATCH($B17&amp;"USD bn", Database!$AD$6:$AD$197, 0))), INDEX(Database!$U$6:$U$197, MATCH($B17&amp;"USD bn", Database!$AD$6:$AD$197, 0)), "")</f>
        <v>451.60472980981842</v>
      </c>
      <c r="L17" s="832" t="str">
        <f>IF(ISNUMBER(INDEX(Database!$W$6:$W$197, MATCH($B17&amp;"USD bn", Database!$AD$6:$AD$197, 0))), INDEX(Database!$W$6:$W$197, MATCH($B17&amp;"USD bn", Database!$AD$6:$AD$197, 0)), "")</f>
        <v/>
      </c>
      <c r="M17" s="834"/>
      <c r="N17" s="834"/>
      <c r="O17" s="835">
        <f>IF(ISNUMBER(INDEX(Database!$G$6:$G$197, MATCH($B17&amp;"% GDP", Database!$AD$6:$AD$197, 0))), INDEX(Database!$G$6:$G$197, MATCH($B17&amp;"% GDP", Database!$AD$6:$AD$197, 0)), "")</f>
        <v>19.27047748644793</v>
      </c>
      <c r="P17" s="836">
        <f>IF(ISNUMBER(INDEX(Database!$H$6:$H$197, MATCH($B17&amp;"% GDP", Database!$AD$6:$AD$197, 0))), INDEX(Database!$H$6:$H$197, MATCH($B17&amp;"% GDP", Database!$AD$6:$AD$197, 0)), "")</f>
        <v>4.8294562742449347</v>
      </c>
      <c r="Q17" s="836">
        <f>IF(ISNUMBER(INDEX(Database!$J$6:$J$197, MATCH($B17&amp;"% GDP", Database!$AD$6:$AD$197, 0))), INDEX(Database!$J$6:$J$197, MATCH($B17&amp;"% GDP", Database!$AD$6:$AD$197, 0)), "")</f>
        <v>14.441021212202996</v>
      </c>
      <c r="R17" s="836">
        <f>IF(ISNUMBER(INDEX(Database!$L$6:$L$197, MATCH($B17&amp;"% GDP", Database!$AD$6:$AD$197, 0))), INDEX(Database!$L$6:$L$197, MATCH($B17&amp;"% GDP", Database!$AD$6:$AD$197, 0)), "")</f>
        <v>0.59184513164766361</v>
      </c>
      <c r="S17" s="836"/>
      <c r="T17" s="835">
        <f>IF(ISNUMBER(INDEX(Database!$P$6:$P$197, MATCH($B17&amp;"% GDP", Database!$AD$6:$AD$197, 0))), INDEX(Database!$P$6:$P$197, MATCH($B17&amp;"% GDP", Database!$AD$6:$AD$197, 0)), "")</f>
        <v>16.715126946045974</v>
      </c>
      <c r="U17" s="836">
        <f>IF(ISNUMBER(INDEX(Database!$Q$6:$Q$197, MATCH($B17&amp;"% GDP", Database!$AD$6:$AD$197, 0))), INDEX(Database!$Q$6:$Q$197, MATCH($B17&amp;"% GDP", Database!$AD$6:$AD$197, 0)), "")</f>
        <v>4.8768038847767488E-2</v>
      </c>
      <c r="V17" s="836"/>
      <c r="W17" s="836">
        <f>IF(ISNUMBER(INDEX(Database!$U$6:$U$197, MATCH($B17&amp;"% GDP", Database!$AD$6:$AD$197, 0))), INDEX(Database!$U$6:$U$197, MATCH($B17&amp;"% GDP", Database!$AD$6:$AD$197, 0)), "")</f>
        <v>16.666358907198209</v>
      </c>
      <c r="X17" s="836" t="str">
        <f>IF(ISNUMBER(INDEX(Database!$W$6:$W$197, MATCH($B17&amp;"% GDP", Database!$AD$6:$AD$197, 0))), INDEX(Database!$W$6:$W$197, MATCH($B17&amp;"% GDP", Database!$AD$6:$AD$197, 0)), "")</f>
        <v/>
      </c>
      <c r="AB17" s="562"/>
    </row>
    <row r="18" spans="1:28">
      <c r="A18" s="559"/>
      <c r="B18" s="764" t="s">
        <v>8</v>
      </c>
      <c r="C18" s="831">
        <f>IF(ISNUMBER(INDEX(Database!$G$6:$G$197, MATCH($B18&amp;"USD bn", Database!$AD$6:$AD$197, 0))), INDEX(Database!$G$6:$G$197, MATCH($B18&amp;"USD bn", Database!$AD$6:$AD$197, 0)), "")</f>
        <v>5328.3</v>
      </c>
      <c r="D18" s="832">
        <f>IF(ISNUMBER(INDEX(Database!$H$6:$H$197, MATCH($B18&amp;"USD bn", Database!$AD$6:$AD$197, 0))), INDEX(Database!$H$6:$H$197, MATCH($B18&amp;"USD bn", Database!$AD$6:$AD$197, 0)), "")</f>
        <v>687.3</v>
      </c>
      <c r="E18" s="832">
        <f>IF(ISNUMBER(INDEX(Database!$J$6:$J$197, MATCH($B18&amp;"USD bn", Database!$AD$6:$AD$197, 0))), INDEX(Database!$J$6:$J$197, MATCH($B18&amp;"USD bn", Database!$AD$6:$AD$197, 0)), "")</f>
        <v>4641</v>
      </c>
      <c r="F18" s="833">
        <f>IF(ISNUMBER(INDEX(Database!$L$6:$L$197, MATCH($B18&amp;"USD bn", Database!$AD$6:$AD$197, 0))), INDEX(Database!$L$6:$L$197, MATCH($B18&amp;"USD bn", Database!$AD$6:$AD$197, 0)), "")</f>
        <v>17.98</v>
      </c>
      <c r="G18" s="832"/>
      <c r="H18" s="831">
        <f>IF(ISNUMBER(INDEX(Database!$P$6:$P$197, MATCH($B18&amp;"USD bn", Database!$AD$6:$AD$197, 0))), INDEX(Database!$P$6:$P$197, MATCH($B18&amp;"USD bn", Database!$AD$6:$AD$197, 0)), "")</f>
        <v>510</v>
      </c>
      <c r="I18" s="832">
        <f>IF(ISNUMBER(INDEX(Database!$Q$6:$Q$197, MATCH($B18&amp;"USD bn", Database!$AD$6:$AD$197, 0))), INDEX(Database!$Q$6:$Q$197, MATCH($B18&amp;"USD bn", Database!$AD$6:$AD$197, 0)), "")</f>
        <v>56</v>
      </c>
      <c r="J18" s="832"/>
      <c r="K18" s="832">
        <f>IF(ISNUMBER(INDEX(Database!$U$6:$U$197, MATCH($B18&amp;"USD bn", Database!$AD$6:$AD$197, 0))), INDEX(Database!$U$6:$U$197, MATCH($B18&amp;"USD bn", Database!$AD$6:$AD$197, 0)), "")</f>
        <v>454</v>
      </c>
      <c r="L18" s="832" t="str">
        <f>IF(ISNUMBER(INDEX(Database!$W$6:$W$197, MATCH($B18&amp;"USD bn", Database!$AD$6:$AD$197, 0))), INDEX(Database!$W$6:$W$197, MATCH($B18&amp;"USD bn", Database!$AD$6:$AD$197, 0)), "")</f>
        <v/>
      </c>
      <c r="M18" s="834"/>
      <c r="N18" s="834"/>
      <c r="O18" s="835">
        <f>IF(ISNUMBER(INDEX(Database!$G$6:$G$197, MATCH($B18&amp;"% GDP", Database!$AD$6:$AD$197, 0))), INDEX(Database!$G$6:$G$197, MATCH($B18&amp;"% GDP", Database!$AD$6:$AD$197, 0)), "")</f>
        <v>25.501884534848941</v>
      </c>
      <c r="P18" s="836">
        <f>IF(ISNUMBER(INDEX(Database!$H$6:$H$197, MATCH($B18&amp;"% GDP", Database!$AD$6:$AD$197, 0))), INDEX(Database!$H$6:$H$197, MATCH($B18&amp;"% GDP", Database!$AD$6:$AD$197, 0)), "")</f>
        <v>3.2895004486987736</v>
      </c>
      <c r="Q18" s="836">
        <f>IF(ISNUMBER(INDEX(Database!$J$6:$J$197, MATCH($B18&amp;"% GDP", Database!$AD$6:$AD$197, 0))), INDEX(Database!$J$6:$J$197, MATCH($B18&amp;"% GDP", Database!$AD$6:$AD$197, 0)), "")</f>
        <v>22.212384086150163</v>
      </c>
      <c r="R18" s="836">
        <f>IF(ISNUMBER(INDEX(Database!$L$6:$L$197, MATCH($B18&amp;"% GDP", Database!$AD$6:$AD$197, 0))), INDEX(Database!$L$6:$L$197, MATCH($B18&amp;"% GDP", Database!$AD$6:$AD$197, 0)), "")</f>
        <v>8.6054442117858218E-2</v>
      </c>
      <c r="S18" s="836"/>
      <c r="T18" s="835">
        <f>IF(ISNUMBER(INDEX(Database!$P$6:$P$197, MATCH($B18&amp;"% GDP", Database!$AD$6:$AD$197, 0))), INDEX(Database!$P$6:$P$197, MATCH($B18&amp;"% GDP", Database!$AD$6:$AD$197, 0)), "")</f>
        <v>2.4409213281483697</v>
      </c>
      <c r="U18" s="836">
        <f>IF(ISNUMBER(INDEX(Database!$Q$6:$Q$197, MATCH($B18&amp;"% GDP", Database!$AD$6:$AD$197, 0))), INDEX(Database!$Q$6:$Q$197, MATCH($B18&amp;"% GDP", Database!$AD$6:$AD$197, 0)), "")</f>
        <v>0.26802273407119354</v>
      </c>
      <c r="V18" s="836"/>
      <c r="W18" s="836">
        <f>IF(ISNUMBER(INDEX(Database!$U$6:$U$197, MATCH($B18&amp;"% GDP", Database!$AD$6:$AD$197, 0))), INDEX(Database!$U$6:$U$197, MATCH($B18&amp;"% GDP", Database!$AD$6:$AD$197, 0)), "")</f>
        <v>2.1728985940771763</v>
      </c>
      <c r="X18" s="836" t="str">
        <f>IF(ISNUMBER(INDEX(Database!$W$6:$W$197, MATCH($B18&amp;"% GDP", Database!$AD$6:$AD$197, 0))), INDEX(Database!$W$6:$W$197, MATCH($B18&amp;"% GDP", Database!$AD$6:$AD$197, 0)), "")</f>
        <v/>
      </c>
      <c r="AB18" s="562"/>
    </row>
    <row r="19" spans="1:28" ht="13.5" customHeight="1">
      <c r="A19" s="559"/>
      <c r="B19" s="829" t="s">
        <v>869</v>
      </c>
      <c r="C19" s="835" t="str">
        <f>IF(ISNUMBER(INDEX(Database!$G$6:$G$197, MATCH($B19&amp;"USD bn", Database!$AD$6:$AD$197, 0))), INDEX(Database!$G$6:$G$197, MATCH($B19&amp;"USD bn", Database!$AD$6:$AD$197, 0)), "")</f>
        <v/>
      </c>
      <c r="D19" s="836" t="str">
        <f>IF(ISNUMBER(INDEX(Database!$H$6:$H$197, MATCH($B19&amp;"USD bn", Database!$AD$6:$AD$197, 0))), INDEX(Database!$H$6:$H$197, MATCH($B19&amp;"USD bn", Database!$AD$6:$AD$197, 0)), "")</f>
        <v/>
      </c>
      <c r="E19" s="836" t="str">
        <f>IF(ISNUMBER(INDEX(Database!$J$6:$J$197, MATCH($B19&amp;"USD bn", Database!$AD$6:$AD$197, 0))), INDEX(Database!$J$6:$J$197, MATCH($B19&amp;"USD bn", Database!$AD$6:$AD$197, 0)), "")</f>
        <v/>
      </c>
      <c r="F19" s="836" t="str">
        <f>IF(ISNUMBER(INDEX(Database!$L$6:$L$197, MATCH($B19&amp;"USD bn", Database!$AD$6:$AD$197, 0))), INDEX(Database!$L$6:$L$197, MATCH($B19&amp;"USD bn", Database!$AD$6:$AD$197, 0)), "")</f>
        <v/>
      </c>
      <c r="G19" s="836"/>
      <c r="H19" s="835" t="str">
        <f>IF(ISNUMBER(INDEX(Database!$P$6:$P$197, MATCH($B19&amp;"USD bn", Database!$AD$6:$AD$197, 0))), INDEX(Database!$P$6:$P$197, MATCH($B19&amp;"USD bn", Database!$AD$6:$AD$197, 0)), "")</f>
        <v/>
      </c>
      <c r="I19" s="837" t="str">
        <f>IF(ISNUMBER(INDEX(Database!$Q$6:$Q$197, MATCH($B19&amp;"USD bn", Database!$AD$6:$AD$197, 0))), INDEX(Database!$Q$6:$Q$197, MATCH($B19&amp;"USD bn", Database!$AD$6:$AD$197, 0)), "")</f>
        <v/>
      </c>
      <c r="J19" s="837"/>
      <c r="K19" s="837" t="str">
        <f>IF(ISNUMBER(INDEX(Database!$U$6:$U$197, MATCH($B19&amp;"USD bn", Database!$AD$6:$AD$197, 0))), INDEX(Database!$U$6:$U$197, MATCH($B19&amp;"USD bn", Database!$AD$6:$AD$197, 0)), "")</f>
        <v/>
      </c>
      <c r="L19" s="837" t="str">
        <f>IF(ISNUMBER(INDEX(Database!$W$6:$W$197, MATCH($B19&amp;"USD bn", Database!$AD$6:$AD$197, 0))), INDEX(Database!$W$6:$W$197, MATCH($B19&amp;"USD bn", Database!$AD$6:$AD$197, 0)), "")</f>
        <v/>
      </c>
      <c r="M19" s="834"/>
      <c r="N19" s="834"/>
      <c r="O19" s="835" t="str">
        <f>IF(ISNUMBER(INDEX(Database!$G$6:$G$197, MATCH($B19&amp;"% GDP", Database!$AD$6:$AD$197, 0))), INDEX(Database!$G$6:$G$197, MATCH($B19&amp;"% GDP", Database!$AD$6:$AD$197, 0)), "")</f>
        <v/>
      </c>
      <c r="P19" s="836" t="str">
        <f>IF(ISNUMBER(INDEX(Database!$H$6:$H$197, MATCH($B19&amp;"% GDP", Database!$AD$6:$AD$197, 0))), INDEX(Database!$H$6:$H$197, MATCH($B19&amp;"% GDP", Database!$AD$6:$AD$197, 0)), "")</f>
        <v/>
      </c>
      <c r="Q19" s="836" t="str">
        <f>IF(ISNUMBER(INDEX(Database!$J$6:$J$197, MATCH($B19&amp;"% GDP", Database!$AD$6:$AD$197, 0))), INDEX(Database!$J$6:$J$197, MATCH($B19&amp;"% GDP", Database!$AD$6:$AD$197, 0)), "")</f>
        <v/>
      </c>
      <c r="R19" s="836" t="str">
        <f>IF(ISNUMBER(INDEX(Database!$L$6:$L$197, MATCH($B19&amp;"% GDP", Database!$AD$6:$AD$197, 0))), INDEX(Database!$L$6:$L$197, MATCH($B19&amp;"% GDP", Database!$AD$6:$AD$197, 0)), "")</f>
        <v/>
      </c>
      <c r="S19" s="836"/>
      <c r="T19" s="835" t="str">
        <f>IF(ISNUMBER(INDEX(Database!$P$6:$P$197, MATCH($B19&amp;"% GDP", Database!$AD$6:$AD$197, 0))), INDEX(Database!$P$6:$P$197, MATCH($B19&amp;"% GDP", Database!$AD$6:$AD$197, 0)), "")</f>
        <v/>
      </c>
      <c r="U19" s="836" t="str">
        <f>IF(ISNUMBER(INDEX(Database!$Q$6:$Q$197, MATCH($B19&amp;"% GDP", Database!$AD$6:$AD$197, 0))), INDEX(Database!$Q$6:$Q$197, MATCH($B19&amp;"% GDP", Database!$AD$6:$AD$197, 0)), "")</f>
        <v/>
      </c>
      <c r="V19" s="836"/>
      <c r="W19" s="836" t="str">
        <f>IF(ISNUMBER(INDEX(Database!$U$6:$U$197, MATCH($B19&amp;"% GDP", Database!$AD$6:$AD$197, 0))), INDEX(Database!$U$6:$U$197, MATCH($B19&amp;"% GDP", Database!$AD$6:$AD$197, 0)), "")</f>
        <v/>
      </c>
      <c r="X19" s="836" t="str">
        <f>IF(ISNUMBER(INDEX(Database!$W$6:$W$197, MATCH($B19&amp;"% GDP", Database!$AD$6:$AD$197, 0))), INDEX(Database!$W$6:$W$197, MATCH($B19&amp;"% GDP", Database!$AD$6:$AD$197, 0)), "")</f>
        <v/>
      </c>
      <c r="AB19" s="561"/>
    </row>
    <row r="20" spans="1:28" ht="13.5" customHeight="1">
      <c r="A20" s="559"/>
      <c r="B20" s="764" t="s">
        <v>9</v>
      </c>
      <c r="C20" s="831">
        <f>IF(ISNUMBER(INDEX(Database!$G$6:$G$197, MATCH($B20&amp;"USD bn", Database!$AD$6:$AD$197, 0))), INDEX(Database!$G$6:$G$197, MATCH($B20&amp;"USD bn", Database!$AD$6:$AD$197, 0)), "")</f>
        <v>20.812695929621835</v>
      </c>
      <c r="D20" s="832">
        <f>IF(ISNUMBER(INDEX(Database!$H$6:$H$197, MATCH($B20&amp;"USD bn", Database!$AD$6:$AD$197, 0))), INDEX(Database!$H$6:$H$197, MATCH($B20&amp;"USD bn", Database!$AD$6:$AD$197, 0)), "")</f>
        <v>4.9352464465452508</v>
      </c>
      <c r="E20" s="832">
        <f>IF(ISNUMBER(INDEX(Database!$J$6:$J$197, MATCH($B20&amp;"USD bn", Database!$AD$6:$AD$197, 0))), INDEX(Database!$J$6:$J$197, MATCH($B20&amp;"USD bn", Database!$AD$6:$AD$197, 0)), "")</f>
        <v>15.877449483076587</v>
      </c>
      <c r="F20" s="833">
        <f>IF(ISNUMBER(INDEX(Database!$L$6:$L$197, MATCH($B20&amp;"USD bn", Database!$AD$6:$AD$197, 0))), INDEX(Database!$L$6:$L$197, MATCH($B20&amp;"USD bn", Database!$AD$6:$AD$197, 0)), "")</f>
        <v>0.14157333466853844</v>
      </c>
      <c r="G20" s="832"/>
      <c r="H20" s="831">
        <f>IF(ISNUMBER(INDEX(Database!$P$6:$P$197, MATCH($B20&amp;"USD bn", Database!$AD$6:$AD$197, 0))), INDEX(Database!$P$6:$P$197, MATCH($B20&amp;"USD bn", Database!$AD$6:$AD$197, 0)), "")</f>
        <v>9.9568526272383089</v>
      </c>
      <c r="I20" s="837">
        <f>IF(ISNUMBER(INDEX(Database!$Q$6:$Q$197, MATCH($B20&amp;"USD bn", Database!$AD$6:$AD$197, 0))), INDEX(Database!$Q$6:$Q$197, MATCH($B20&amp;"USD bn", Database!$AD$6:$AD$197, 0)), "")</f>
        <v>0.99526054271982523</v>
      </c>
      <c r="J20" s="837"/>
      <c r="K20" s="837">
        <f>IF(ISNUMBER(INDEX(Database!$U$6:$U$197, MATCH($B20&amp;"USD bn", Database!$AD$6:$AD$197, 0))), INDEX(Database!$U$6:$U$197, MATCH($B20&amp;"USD bn", Database!$AD$6:$AD$197, 0)), "")</f>
        <v>8.9615920845184842</v>
      </c>
      <c r="L20" s="837" t="str">
        <f>IF(ISNUMBER(INDEX(Database!$W$6:$W$197, MATCH($B20&amp;"USD bn", Database!$AD$6:$AD$197, 0))), INDEX(Database!$W$6:$W$197, MATCH($B20&amp;"USD bn", Database!$AD$6:$AD$197, 0)), "")</f>
        <v/>
      </c>
      <c r="M20" s="834"/>
      <c r="N20" s="834"/>
      <c r="O20" s="835">
        <f>IF(ISNUMBER(INDEX(Database!$G$6:$G$197, MATCH($B20&amp;"% GDP", Database!$AD$6:$AD$197, 0))), INDEX(Database!$G$6:$G$197, MATCH($B20&amp;"% GDP", Database!$AD$6:$AD$197, 0)), "")</f>
        <v>5.3494285646507498</v>
      </c>
      <c r="P20" s="836">
        <f>IF(ISNUMBER(INDEX(Database!$H$6:$H$197, MATCH($B20&amp;"% GDP", Database!$AD$6:$AD$197, 0))), INDEX(Database!$H$6:$H$197, MATCH($B20&amp;"% GDP", Database!$AD$6:$AD$197, 0)), "")</f>
        <v>1.2684924818973211</v>
      </c>
      <c r="Q20" s="836">
        <f>IF(ISNUMBER(INDEX(Database!$J$6:$J$197, MATCH($B20&amp;"% GDP", Database!$AD$6:$AD$197, 0))), INDEX(Database!$J$6:$J$197, MATCH($B20&amp;"% GDP", Database!$AD$6:$AD$197, 0)), "")</f>
        <v>4.0809360827534293</v>
      </c>
      <c r="R20" s="836">
        <f>IF(ISNUMBER(INDEX(Database!$L$6:$L$197, MATCH($B20&amp;"% GDP", Database!$AD$6:$AD$197, 0))), INDEX(Database!$L$6:$L$197, MATCH($B20&amp;"% GDP", Database!$AD$6:$AD$197, 0)), "")</f>
        <v>3.6388195120405073E-2</v>
      </c>
      <c r="S20" s="836"/>
      <c r="T20" s="835">
        <f>IF(ISNUMBER(INDEX(Database!$P$6:$P$197, MATCH($B20&amp;"% GDP", Database!$AD$6:$AD$197, 0))), INDEX(Database!$P$6:$P$197, MATCH($B20&amp;"% GDP", Database!$AD$6:$AD$197, 0)), "")</f>
        <v>2.5591817628180888</v>
      </c>
      <c r="U20" s="836">
        <f>IF(ISNUMBER(INDEX(Database!$Q$6:$Q$197, MATCH($B20&amp;"% GDP", Database!$AD$6:$AD$197, 0))), INDEX(Database!$Q$6:$Q$197, MATCH($B20&amp;"% GDP", Database!$AD$6:$AD$197, 0)), "")</f>
        <v>0.25580901169644765</v>
      </c>
      <c r="V20" s="836"/>
      <c r="W20" s="836">
        <f>IF(ISNUMBER(INDEX(Database!$U$6:$U$197, MATCH($B20&amp;"% GDP", Database!$AD$6:$AD$197, 0))), INDEX(Database!$U$6:$U$197, MATCH($B20&amp;"% GDP", Database!$AD$6:$AD$197, 0)), "")</f>
        <v>2.3033727511216413</v>
      </c>
      <c r="X20" s="836" t="str">
        <f>IF(ISNUMBER(INDEX(Database!$W$6:$W$197, MATCH($B20&amp;"% GDP", Database!$AD$6:$AD$197, 0))), INDEX(Database!$W$6:$W$197, MATCH($B20&amp;"% GDP", Database!$AD$6:$AD$197, 0)), "")</f>
        <v/>
      </c>
      <c r="AB20" s="562"/>
    </row>
    <row r="21" spans="1:28">
      <c r="A21" s="559"/>
      <c r="B21" s="764" t="s">
        <v>10</v>
      </c>
      <c r="C21" s="831">
        <f>IF(ISNUMBER(INDEX(Database!$G$6:$G$197, MATCH($B21&amp;"USD bn", Database!$AD$6:$AD$197, 0))), INDEX(Database!$G$6:$G$197, MATCH($B21&amp;"USD bn", Database!$AD$6:$AD$197, 0)), "")</f>
        <v>133.43721913654085</v>
      </c>
      <c r="D21" s="832">
        <f>IF(ISNUMBER(INDEX(Database!$H$6:$H$197, MATCH($B21&amp;"USD bn", Database!$AD$6:$AD$197, 0))), INDEX(Database!$H$6:$H$197, MATCH($B21&amp;"USD bn", Database!$AD$6:$AD$197, 0)), "")</f>
        <v>21.104767323819807</v>
      </c>
      <c r="E21" s="832">
        <f>IF(ISNUMBER(INDEX(Database!$J$6:$J$197, MATCH($B21&amp;"USD bn", Database!$AD$6:$AD$197, 0))), INDEX(Database!$J$6:$J$197, MATCH($B21&amp;"USD bn", Database!$AD$6:$AD$197, 0)), "")</f>
        <v>112.33245181272106</v>
      </c>
      <c r="F21" s="833">
        <f>IF(ISNUMBER(INDEX(Database!$L$6:$L$197, MATCH($B21&amp;"USD bn", Database!$AD$6:$AD$197, 0))), INDEX(Database!$L$6:$L$197, MATCH($B21&amp;"USD bn", Database!$AD$6:$AD$197, 0)), "")</f>
        <v>44.537266337766802</v>
      </c>
      <c r="G21" s="832"/>
      <c r="H21" s="831">
        <f>IF(ISNUMBER(INDEX(Database!$P$6:$P$197, MATCH($B21&amp;"USD bn", Database!$AD$6:$AD$197, 0))), INDEX(Database!$P$6:$P$197, MATCH($B21&amp;"USD bn", Database!$AD$6:$AD$197, 0)), "")</f>
        <v>88.861157270605275</v>
      </c>
      <c r="I21" s="837">
        <f>IF(ISNUMBER(INDEX(Database!$Q$6:$Q$197, MATCH($B21&amp;"USD bn", Database!$AD$6:$AD$197, 0))), INDEX(Database!$Q$6:$Q$197, MATCH($B21&amp;"USD bn", Database!$AD$6:$AD$197, 0)), "")</f>
        <v>15.498813503430172</v>
      </c>
      <c r="J21" s="837"/>
      <c r="K21" s="837" t="str">
        <f>IF(ISNUMBER(INDEX(Database!$U$6:$U$197, MATCH($B21&amp;"USD bn", Database!$AD$6:$AD$197, 0))), INDEX(Database!$U$6:$U$197, MATCH($B21&amp;"USD bn", Database!$AD$6:$AD$197, 0)), "")</f>
        <v/>
      </c>
      <c r="L21" s="837">
        <f>IF(ISNUMBER(INDEX(Database!$W$6:$W$197, MATCH($B21&amp;"USD bn", Database!$AD$6:$AD$197, 0))), INDEX(Database!$W$6:$W$197, MATCH($B21&amp;"USD bn", Database!$AD$6:$AD$197, 0)), "")</f>
        <v>73.362343767175105</v>
      </c>
      <c r="M21" s="834"/>
      <c r="N21" s="834"/>
      <c r="O21" s="835">
        <f>IF(ISNUMBER(INDEX(Database!$G$6:$G$197, MATCH($B21&amp;"% GDP", Database!$AD$6:$AD$197, 0))), INDEX(Database!$G$6:$G$197, MATCH($B21&amp;"% GDP", Database!$AD$6:$AD$197, 0)), "")</f>
        <v>9.2362126130761357</v>
      </c>
      <c r="P21" s="836">
        <f>IF(ISNUMBER(INDEX(Database!$H$6:$H$197, MATCH($B21&amp;"% GDP", Database!$AD$6:$AD$197, 0))), INDEX(Database!$H$6:$H$197, MATCH($B21&amp;"% GDP", Database!$AD$6:$AD$197, 0)), "")</f>
        <v>1.460822695599191</v>
      </c>
      <c r="Q21" s="836">
        <f>IF(ISNUMBER(INDEX(Database!$J$6:$J$197, MATCH($B21&amp;"% GDP", Database!$AD$6:$AD$197, 0))), INDEX(Database!$J$6:$J$197, MATCH($B21&amp;"% GDP", Database!$AD$6:$AD$197, 0)), "")</f>
        <v>7.7753899174769447</v>
      </c>
      <c r="R21" s="836">
        <f>IF(ISNUMBER(INDEX(Database!$L$6:$L$197, MATCH($B21&amp;"% GDP", Database!$AD$6:$AD$197, 0))), INDEX(Database!$L$6:$L$197, MATCH($B21&amp;"% GDP", Database!$AD$6:$AD$197, 0)), "")</f>
        <v>3.0827655414482935</v>
      </c>
      <c r="S21" s="836"/>
      <c r="T21" s="835">
        <f>IF(ISNUMBER(INDEX(Database!$P$6:$P$197, MATCH($B21&amp;"% GDP", Database!$AD$6:$AD$197, 0))), INDEX(Database!$P$6:$P$197, MATCH($B21&amp;"% GDP", Database!$AD$6:$AD$197, 0)), "")</f>
        <v>6.1507617357903444</v>
      </c>
      <c r="U21" s="836">
        <f>IF(ISNUMBER(INDEX(Database!$Q$6:$Q$197, MATCH($B21&amp;"% GDP", Database!$AD$6:$AD$197, 0))), INDEX(Database!$Q$6:$Q$197, MATCH($B21&amp;"% GDP", Database!$AD$6:$AD$197, 0)), "")</f>
        <v>1.0727916670806561</v>
      </c>
      <c r="V21" s="836"/>
      <c r="W21" s="836" t="str">
        <f>IF(ISNUMBER(INDEX(Database!$U$6:$U$197, MATCH($B21&amp;"% GDP", Database!$AD$6:$AD$197, 0))), INDEX(Database!$U$6:$U$197, MATCH($B21&amp;"% GDP", Database!$AD$6:$AD$197, 0)), "")</f>
        <v/>
      </c>
      <c r="X21" s="836">
        <f>IF(ISNUMBER(INDEX(Database!$W$6:$W$197, MATCH($B21&amp;"% GDP", Database!$AD$6:$AD$197, 0))), INDEX(Database!$W$6:$W$197, MATCH($B21&amp;"% GDP", Database!$AD$6:$AD$197, 0)), "")</f>
        <v>5.0779700687096874</v>
      </c>
      <c r="AB21" s="562"/>
    </row>
    <row r="22" spans="1:28">
      <c r="A22" s="559"/>
      <c r="B22" s="764" t="s">
        <v>11</v>
      </c>
      <c r="C22" s="831">
        <f>IF(ISNUMBER(INDEX(Database!$G$6:$G$197, MATCH($B22&amp;"USD bn", Database!$AD$6:$AD$197, 0))), INDEX(Database!$G$6:$G$197, MATCH($B22&amp;"USD bn", Database!$AD$6:$AD$197, 0)), "")</f>
        <v>710.64739339926814</v>
      </c>
      <c r="D22" s="832">
        <f>IF(ISNUMBER(INDEX(Database!$H$6:$H$197, MATCH($B22&amp;"USD bn", Database!$AD$6:$AD$197, 0))), INDEX(Database!$H$6:$H$197, MATCH($B22&amp;"USD bn", Database!$AD$6:$AD$197, 0)), "")</f>
        <v>21.302032387783935</v>
      </c>
      <c r="E22" s="832">
        <f>IF(ISNUMBER(INDEX(Database!$J$6:$J$197, MATCH($B22&amp;"USD bn", Database!$AD$6:$AD$197, 0))), INDEX(Database!$J$6:$J$197, MATCH($B22&amp;"USD bn", Database!$AD$6:$AD$197, 0)), "")</f>
        <v>689.34536101148421</v>
      </c>
      <c r="F22" s="833">
        <f>IF(ISNUMBER(INDEX(Database!$L$6:$L$197, MATCH($B22&amp;"USD bn", Database!$AD$6:$AD$197, 0))), INDEX(Database!$L$6:$L$197, MATCH($B22&amp;"USD bn", Database!$AD$6:$AD$197, 0)), "")</f>
        <v>231.8588559214578</v>
      </c>
      <c r="G22" s="832"/>
      <c r="H22" s="831">
        <f>IF(ISNUMBER(INDEX(Database!$P$6:$P$197, MATCH($B22&amp;"USD bn", Database!$AD$6:$AD$197, 0))), INDEX(Database!$P$6:$P$197, MATCH($B22&amp;"USD bn", Database!$AD$6:$AD$197, 0)), "")</f>
        <v>192.73267398471179</v>
      </c>
      <c r="I22" s="837" t="str">
        <f>IF(ISNUMBER(INDEX(Database!$Q$6:$Q$197, MATCH($B22&amp;"USD bn", Database!$AD$6:$AD$197, 0))), INDEX(Database!$Q$6:$Q$197, MATCH($B22&amp;"USD bn", Database!$AD$6:$AD$197, 0)), "")</f>
        <v/>
      </c>
      <c r="J22" s="837"/>
      <c r="K22" s="837">
        <f>IF(ISNUMBER(INDEX(Database!$U$6:$U$197, MATCH($B22&amp;"USD bn", Database!$AD$6:$AD$197, 0))), INDEX(Database!$U$6:$U$197, MATCH($B22&amp;"USD bn", Database!$AD$6:$AD$197, 0)), "")</f>
        <v>57.964713980364451</v>
      </c>
      <c r="L22" s="837">
        <f>IF(ISNUMBER(INDEX(Database!$W$6:$W$197, MATCH($B22&amp;"USD bn", Database!$AD$6:$AD$197, 0))), INDEX(Database!$W$6:$W$197, MATCH($B22&amp;"USD bn", Database!$AD$6:$AD$197, 0)), "")</f>
        <v>134.76796000434734</v>
      </c>
      <c r="M22" s="834"/>
      <c r="N22" s="834"/>
      <c r="O22" s="835">
        <f>IF(ISNUMBER(INDEX(Database!$G$6:$G$197, MATCH($B22&amp;"% GDP", Database!$AD$6:$AD$197, 0))), INDEX(Database!$G$6:$G$197, MATCH($B22&amp;"% GDP", Database!$AD$6:$AD$197, 0)), "")</f>
        <v>4.7801156546253365</v>
      </c>
      <c r="P22" s="836">
        <f>IF(ISNUMBER(INDEX(Database!$H$6:$H$197, MATCH($B22&amp;"% GDP", Database!$AD$6:$AD$197, 0))), INDEX(Database!$H$6:$H$197, MATCH($B22&amp;"% GDP", Database!$AD$6:$AD$197, 0)), "")</f>
        <v>0.14328650106646096</v>
      </c>
      <c r="Q22" s="836">
        <f>IF(ISNUMBER(INDEX(Database!$J$6:$J$197, MATCH($B22&amp;"% GDP", Database!$AD$6:$AD$197, 0))), INDEX(Database!$J$6:$J$197, MATCH($B22&amp;"% GDP", Database!$AD$6:$AD$197, 0)), "")</f>
        <v>4.6368291535588764</v>
      </c>
      <c r="R22" s="836">
        <f>IF(ISNUMBER(INDEX(Database!$L$6:$L$197, MATCH($B22&amp;"% GDP", Database!$AD$6:$AD$197, 0))), INDEX(Database!$L$6:$L$197, MATCH($B22&amp;"% GDP", Database!$AD$6:$AD$197, 0)), "")</f>
        <v>1.5595809639886906</v>
      </c>
      <c r="S22" s="836"/>
      <c r="T22" s="835">
        <f>IF(ISNUMBER(INDEX(Database!$P$6:$P$197, MATCH($B22&amp;"% GDP", Database!$AD$6:$AD$197, 0))), INDEX(Database!$P$6:$P$197, MATCH($B22&amp;"% GDP", Database!$AD$6:$AD$197, 0)), "")</f>
        <v>1.296401676315599</v>
      </c>
      <c r="U22" s="836" t="str">
        <f>IF(ISNUMBER(INDEX(Database!$Q$6:$Q$197, MATCH($B22&amp;"% GDP", Database!$AD$6:$AD$197, 0))), INDEX(Database!$Q$6:$Q$197, MATCH($B22&amp;"% GDP", Database!$AD$6:$AD$197, 0)), "")</f>
        <v/>
      </c>
      <c r="V22" s="836"/>
      <c r="W22" s="836">
        <f>IF(ISNUMBER(INDEX(Database!$U$6:$U$197, MATCH($B22&amp;"% GDP", Database!$AD$6:$AD$197, 0))), INDEX(Database!$U$6:$U$197, MATCH($B22&amp;"% GDP", Database!$AD$6:$AD$197, 0)), "")</f>
        <v>0.38989524099717265</v>
      </c>
      <c r="X22" s="836">
        <f>IF(ISNUMBER(INDEX(Database!$W$6:$W$197, MATCH($B22&amp;"% GDP", Database!$AD$6:$AD$197, 0))), INDEX(Database!$W$6:$W$197, MATCH($B22&amp;"% GDP", Database!$AD$6:$AD$197, 0)), "")</f>
        <v>0.90650643531842645</v>
      </c>
      <c r="AB22" s="562"/>
    </row>
    <row r="23" spans="1:28">
      <c r="A23" s="559"/>
      <c r="B23" s="764" t="s">
        <v>12</v>
      </c>
      <c r="C23" s="831">
        <f>IF(ISNUMBER(INDEX(Database!$G$6:$G$197, MATCH($B23&amp;"USD bn", Database!$AD$6:$AD$197, 0))), INDEX(Database!$G$6:$G$197, MATCH($B23&amp;"USD bn", Database!$AD$6:$AD$197, 0)), "")</f>
        <v>108.91796310307309</v>
      </c>
      <c r="D23" s="832">
        <f>IF(ISNUMBER(INDEX(Database!$H$6:$H$197, MATCH($B23&amp;"USD bn", Database!$AD$6:$AD$197, 0))), INDEX(Database!$H$6:$H$197, MATCH($B23&amp;"USD bn", Database!$AD$6:$AD$197, 0)), "")</f>
        <v>14.028015635197093</v>
      </c>
      <c r="E23" s="832">
        <f>IF(ISNUMBER(INDEX(Database!$J$6:$J$197, MATCH($B23&amp;"USD bn", Database!$AD$6:$AD$197, 0))), INDEX(Database!$J$6:$J$197, MATCH($B23&amp;"USD bn", Database!$AD$6:$AD$197, 0)), "")</f>
        <v>94.889947467875984</v>
      </c>
      <c r="F23" s="833">
        <f>IF(ISNUMBER(INDEX(Database!$L$6:$L$197, MATCH($B23&amp;"USD bn", Database!$AD$6:$AD$197, 0))), INDEX(Database!$L$6:$L$197, MATCH($B23&amp;"USD bn", Database!$AD$6:$AD$197, 0)), "")</f>
        <v>18.05320721758315</v>
      </c>
      <c r="G23" s="832"/>
      <c r="H23" s="831">
        <f>IF(ISNUMBER(INDEX(Database!$P$6:$P$197, MATCH($B23&amp;"USD bn", Database!$AD$6:$AD$197, 0))), INDEX(Database!$P$6:$P$197, MATCH($B23&amp;"USD bn", Database!$AD$6:$AD$197, 0)), "")</f>
        <v>165.59102232187649</v>
      </c>
      <c r="I23" s="837">
        <f>IF(ISNUMBER(INDEX(Database!$Q$6:$Q$197, MATCH($B23&amp;"USD bn", Database!$AD$6:$AD$197, 0))), INDEX(Database!$Q$6:$Q$197, MATCH($B23&amp;"USD bn", Database!$AD$6:$AD$197, 0)), "")</f>
        <v>8.6358998705005963</v>
      </c>
      <c r="J23" s="837"/>
      <c r="K23" s="837">
        <f>IF(ISNUMBER(INDEX(Database!$U$6:$U$197, MATCH($B23&amp;"USD bn", Database!$AD$6:$AD$197, 0))), INDEX(Database!$U$6:$U$197, MATCH($B23&amp;"USD bn", Database!$AD$6:$AD$197, 0)), "")</f>
        <v>140.78807121174921</v>
      </c>
      <c r="L23" s="837">
        <f>IF(ISNUMBER(INDEX(Database!$W$6:$W$197, MATCH($B23&amp;"USD bn", Database!$AD$6:$AD$197, 0))), INDEX(Database!$W$6:$W$197, MATCH($B23&amp;"USD bn", Database!$AD$6:$AD$197, 0)), "")</f>
        <v>16.167051239626701</v>
      </c>
      <c r="M23" s="834"/>
      <c r="N23" s="834"/>
      <c r="O23" s="835">
        <f>IF(ISNUMBER(INDEX(Database!$G$6:$G$197, MATCH($B23&amp;"% GDP", Database!$AD$6:$AD$197, 0))), INDEX(Database!$G$6:$G$197, MATCH($B23&amp;"% GDP", Database!$AD$6:$AD$197, 0)), "")</f>
        <v>4.0942849748831005</v>
      </c>
      <c r="P23" s="836">
        <f>IF(ISNUMBER(INDEX(Database!$H$6:$H$197, MATCH($B23&amp;"% GDP", Database!$AD$6:$AD$197, 0))), INDEX(Database!$H$6:$H$197, MATCH($B23&amp;"% GDP", Database!$AD$6:$AD$197, 0)), "")</f>
        <v>0.52732067334256061</v>
      </c>
      <c r="Q23" s="836">
        <f>IF(ISNUMBER(INDEX(Database!$J$6:$J$197, MATCH($B23&amp;"% GDP", Database!$AD$6:$AD$197, 0))), INDEX(Database!$J$6:$J$197, MATCH($B23&amp;"% GDP", Database!$AD$6:$AD$197, 0)), "")</f>
        <v>3.5669643015405401</v>
      </c>
      <c r="R23" s="836">
        <f>IF(ISNUMBER(INDEX(Database!$L$6:$L$197, MATCH($B23&amp;"% GDP", Database!$AD$6:$AD$197, 0))), INDEX(Database!$L$6:$L$197, MATCH($B23&amp;"% GDP", Database!$AD$6:$AD$197, 0)), "")</f>
        <v>0.67862979579826865</v>
      </c>
      <c r="S23" s="836"/>
      <c r="T23" s="835">
        <f>IF(ISNUMBER(INDEX(Database!$P$6:$P$197, MATCH($B23&amp;"% GDP", Database!$AD$6:$AD$197, 0))), INDEX(Database!$P$6:$P$197, MATCH($B23&amp;"% GDP", Database!$AD$6:$AD$197, 0)), "")</f>
        <v>6.2246558359377016</v>
      </c>
      <c r="U23" s="836">
        <f>IF(ISNUMBER(INDEX(Database!$Q$6:$Q$197, MATCH($B23&amp;"% GDP", Database!$AD$6:$AD$197, 0))), INDEX(Database!$Q$6:$Q$197, MATCH($B23&amp;"% GDP", Database!$AD$6:$AD$197, 0)), "")</f>
        <v>0.32462813366170912</v>
      </c>
      <c r="V23" s="836"/>
      <c r="W23" s="836">
        <f>IF(ISNUMBER(INDEX(Database!$U$6:$U$197, MATCH($B23&amp;"% GDP", Database!$AD$6:$AD$197, 0))), INDEX(Database!$U$6:$U$197, MATCH($B23&amp;"% GDP", Database!$AD$6:$AD$197, 0)), "")</f>
        <v>5.2922995269342588</v>
      </c>
      <c r="X23" s="836">
        <f>IF(ISNUMBER(INDEX(Database!$W$6:$W$197, MATCH($B23&amp;"% GDP", Database!$AD$6:$AD$197, 0))), INDEX(Database!$W$6:$W$197, MATCH($B23&amp;"% GDP", Database!$AD$6:$AD$197, 0)), "")</f>
        <v>0.60772817534173318</v>
      </c>
      <c r="AB23" s="562"/>
    </row>
    <row r="24" spans="1:28">
      <c r="A24" s="559"/>
      <c r="B24" s="764" t="s">
        <v>13</v>
      </c>
      <c r="C24" s="831">
        <f>IF(ISNUMBER(INDEX(Database!$G$6:$G$197, MATCH($B24&amp;"USD bn", Database!$AD$6:$AD$197, 0))), INDEX(Database!$G$6:$G$197, MATCH($B24&amp;"USD bn", Database!$AD$6:$AD$197, 0)), "")</f>
        <v>98.860320620644671</v>
      </c>
      <c r="D24" s="832">
        <f>IF(ISNUMBER(INDEX(Database!$H$6:$H$197, MATCH($B24&amp;"USD bn", Database!$AD$6:$AD$197, 0))), INDEX(Database!$H$6:$H$197, MATCH($B24&amp;"USD bn", Database!$AD$6:$AD$197, 0)), "")</f>
        <v>21.588685592667606</v>
      </c>
      <c r="E24" s="832">
        <f>IF(ISNUMBER(INDEX(Database!$J$6:$J$197, MATCH($B24&amp;"USD bn", Database!$AD$6:$AD$197, 0))), INDEX(Database!$J$6:$J$197, MATCH($B24&amp;"USD bn", Database!$AD$6:$AD$197, 0)), "")</f>
        <v>77.271635027977069</v>
      </c>
      <c r="F24" s="833" t="str">
        <f>IF(ISNUMBER(INDEX(Database!$L$6:$L$197, MATCH($B24&amp;"USD bn", Database!$AD$6:$AD$197, 0))), INDEX(Database!$L$6:$L$197, MATCH($B24&amp;"USD bn", Database!$AD$6:$AD$197, 0)), "")</f>
        <v/>
      </c>
      <c r="G24" s="832"/>
      <c r="H24" s="831">
        <f>IF(ISNUMBER(INDEX(Database!$P$6:$P$197, MATCH($B24&amp;"USD bn", Database!$AD$6:$AD$197, 0))), INDEX(Database!$P$6:$P$197, MATCH($B24&amp;"USD bn", Database!$AD$6:$AD$197, 0)), "")</f>
        <v>9.2787751879441149</v>
      </c>
      <c r="I24" s="837">
        <f>IF(ISNUMBER(INDEX(Database!$Q$6:$Q$197, MATCH($B24&amp;"USD bn", Database!$AD$6:$AD$197, 0))), INDEX(Database!$Q$6:$Q$197, MATCH($B24&amp;"USD bn", Database!$AD$6:$AD$197, 0)), "")</f>
        <v>2.4132367580927534</v>
      </c>
      <c r="J24" s="837"/>
      <c r="K24" s="837">
        <f>IF(ISNUMBER(INDEX(Database!$U$6:$U$197, MATCH($B24&amp;"USD bn", Database!$AD$6:$AD$197, 0))), INDEX(Database!$U$6:$U$197, MATCH($B24&amp;"USD bn", Database!$AD$6:$AD$197, 0)), "")</f>
        <v>6.8655384298513615</v>
      </c>
      <c r="L24" s="837" t="str">
        <f>IF(ISNUMBER(INDEX(Database!$W$6:$W$197, MATCH($B24&amp;"USD bn", Database!$AD$6:$AD$197, 0))), INDEX(Database!$W$6:$W$197, MATCH($B24&amp;"USD bn", Database!$AD$6:$AD$197, 0)), "")</f>
        <v/>
      </c>
      <c r="M24" s="834"/>
      <c r="N24" s="834"/>
      <c r="O24" s="835">
        <f>IF(ISNUMBER(INDEX(Database!$G$6:$G$197, MATCH($B24&amp;"% GDP", Database!$AD$6:$AD$197, 0))), INDEX(Database!$G$6:$G$197, MATCH($B24&amp;"% GDP", Database!$AD$6:$AD$197, 0)), "")</f>
        <v>9.3296348167315557</v>
      </c>
      <c r="P24" s="836">
        <f>IF(ISNUMBER(INDEX(Database!$H$6:$H$197, MATCH($B24&amp;"% GDP", Database!$AD$6:$AD$197, 0))), INDEX(Database!$H$6:$H$197, MATCH($B24&amp;"% GDP", Database!$AD$6:$AD$197, 0)), "")</f>
        <v>2.037364955811825</v>
      </c>
      <c r="Q24" s="836">
        <f>IF(ISNUMBER(INDEX(Database!$J$6:$J$197, MATCH($B24&amp;"% GDP", Database!$AD$6:$AD$197, 0))), INDEX(Database!$J$6:$J$197, MATCH($B24&amp;"% GDP", Database!$AD$6:$AD$197, 0)), "")</f>
        <v>7.2922698609197294</v>
      </c>
      <c r="R24" s="836" t="str">
        <f>IF(ISNUMBER(INDEX(Database!$L$6:$L$197, MATCH($B24&amp;"% GDP", Database!$AD$6:$AD$197, 0))), INDEX(Database!$L$6:$L$197, MATCH($B24&amp;"% GDP", Database!$AD$6:$AD$197, 0)), "")</f>
        <v/>
      </c>
      <c r="S24" s="836"/>
      <c r="T24" s="835">
        <f>IF(ISNUMBER(INDEX(Database!$P$6:$P$197, MATCH($B24&amp;"% GDP", Database!$AD$6:$AD$197, 0))), INDEX(Database!$P$6:$P$197, MATCH($B24&amp;"% GDP", Database!$AD$6:$AD$197, 0)), "")</f>
        <v>0.87565550573371964</v>
      </c>
      <c r="U24" s="836">
        <f>IF(ISNUMBER(INDEX(Database!$Q$6:$Q$197, MATCH($B24&amp;"% GDP", Database!$AD$6:$AD$197, 0))), INDEX(Database!$Q$6:$Q$197, MATCH($B24&amp;"% GDP", Database!$AD$6:$AD$197, 0)), "")</f>
        <v>0.22774170200917679</v>
      </c>
      <c r="V24" s="836"/>
      <c r="W24" s="836">
        <f>IF(ISNUMBER(INDEX(Database!$U$6:$U$197, MATCH($B24&amp;"% GDP", Database!$AD$6:$AD$197, 0))), INDEX(Database!$U$6:$U$197, MATCH($B24&amp;"% GDP", Database!$AD$6:$AD$197, 0)), "")</f>
        <v>0.64791380372454288</v>
      </c>
      <c r="X24" s="836" t="str">
        <f>IF(ISNUMBER(INDEX(Database!$W$6:$W$197, MATCH($B24&amp;"% GDP", Database!$AD$6:$AD$197, 0))), INDEX(Database!$W$6:$W$197, MATCH($B24&amp;"% GDP", Database!$AD$6:$AD$197, 0)), "")</f>
        <v/>
      </c>
      <c r="AB24" s="562"/>
    </row>
    <row r="25" spans="1:28">
      <c r="B25" s="764" t="s">
        <v>14</v>
      </c>
      <c r="C25" s="831">
        <f>IF(ISNUMBER(INDEX(Database!$G$6:$G$197, MATCH($B25&amp;"USD bn", Database!$AD$6:$AD$197, 0))), INDEX(Database!$G$6:$G$197, MATCH($B25&amp;"USD bn", Database!$AD$6:$AD$197, 0)), "")</f>
        <v>7.0279601888550927</v>
      </c>
      <c r="D25" s="832">
        <f>IF(ISNUMBER(INDEX(Database!$H$6:$H$197, MATCH($B25&amp;"USD bn", Database!$AD$6:$AD$197, 0))), INDEX(Database!$H$6:$H$197, MATCH($B25&amp;"USD bn", Database!$AD$6:$AD$197, 0)), "")</f>
        <v>4.8032151754294405</v>
      </c>
      <c r="E25" s="832">
        <f>IF(ISNUMBER(INDEX(Database!$J$6:$J$197, MATCH($B25&amp;"USD bn", Database!$AD$6:$AD$197, 0))), INDEX(Database!$J$6:$J$197, MATCH($B25&amp;"USD bn", Database!$AD$6:$AD$197, 0)), "")</f>
        <v>2.2247450134256517</v>
      </c>
      <c r="F25" s="833">
        <f>IF(ISNUMBER(INDEX(Database!$L$6:$L$197, MATCH($B25&amp;"USD bn", Database!$AD$6:$AD$197, 0))), INDEX(Database!$L$6:$L$197, MATCH($B25&amp;"USD bn", Database!$AD$6:$AD$197, 0)), "")</f>
        <v>4.2819360091037648</v>
      </c>
      <c r="G25" s="832"/>
      <c r="H25" s="831">
        <f>IF(ISNUMBER(INDEX(Database!$P$6:$P$197, MATCH($B25&amp;"USD bn", Database!$AD$6:$AD$197, 0))), INDEX(Database!$P$6:$P$197, MATCH($B25&amp;"USD bn", Database!$AD$6:$AD$197, 0)), "")</f>
        <v>13.41362997634462</v>
      </c>
      <c r="I25" s="837">
        <f>IF(ISNUMBER(INDEX(Database!$Q$6:$Q$197, MATCH($B25&amp;"USD bn", Database!$AD$6:$AD$197, 0))), INDEX(Database!$Q$6:$Q$197, MATCH($B25&amp;"USD bn", Database!$AD$6:$AD$197, 0)), "")</f>
        <v>0.89362142798687272</v>
      </c>
      <c r="J25" s="837"/>
      <c r="K25" s="837">
        <f>IF(ISNUMBER(INDEX(Database!$U$6:$U$197, MATCH($B25&amp;"USD bn", Database!$AD$6:$AD$197, 0))), INDEX(Database!$U$6:$U$197, MATCH($B25&amp;"USD bn", Database!$AD$6:$AD$197, 0)), "")</f>
        <v>0.27925669624589772</v>
      </c>
      <c r="L25" s="837">
        <f>IF(ISNUMBER(INDEX(Database!$W$6:$W$197, MATCH($B25&amp;"USD bn", Database!$AD$6:$AD$197, 0))), INDEX(Database!$W$6:$W$197, MATCH($B25&amp;"USD bn", Database!$AD$6:$AD$197, 0)), "")</f>
        <v>12.240751852111851</v>
      </c>
      <c r="M25" s="834"/>
      <c r="N25" s="834"/>
      <c r="O25" s="835">
        <f>IF(ISNUMBER(INDEX(Database!$G$6:$G$197, MATCH($B25&amp;"% GDP", Database!$AD$6:$AD$197, 0))), INDEX(Database!$G$6:$G$197, MATCH($B25&amp;"% GDP", Database!$AD$6:$AD$197, 0)), "")</f>
        <v>0.65442396745349374</v>
      </c>
      <c r="P25" s="836">
        <f>IF(ISNUMBER(INDEX(Database!$H$6:$H$197, MATCH($B25&amp;"% GDP", Database!$AD$6:$AD$197, 0))), INDEX(Database!$H$6:$H$197, MATCH($B25&amp;"% GDP", Database!$AD$6:$AD$197, 0)), "")</f>
        <v>0.44726194331920904</v>
      </c>
      <c r="Q25" s="836">
        <f>IF(ISNUMBER(INDEX(Database!$J$6:$J$197, MATCH($B25&amp;"% GDP", Database!$AD$6:$AD$197, 0))), INDEX(Database!$J$6:$J$197, MATCH($B25&amp;"% GDP", Database!$AD$6:$AD$197, 0)), "")</f>
        <v>0.20716202413428478</v>
      </c>
      <c r="R25" s="836">
        <f>IF(ISNUMBER(INDEX(Database!$L$6:$L$197, MATCH($B25&amp;"% GDP", Database!$AD$6:$AD$197, 0))), INDEX(Database!$L$6:$L$197, MATCH($B25&amp;"% GDP", Database!$AD$6:$AD$197, 0)), "")</f>
        <v>0.39872188745510878</v>
      </c>
      <c r="S25" s="836"/>
      <c r="T25" s="835">
        <f>IF(ISNUMBER(INDEX(Database!$P$6:$P$197, MATCH($B25&amp;"% GDP", Database!$AD$6:$AD$197, 0))), INDEX(Database!$P$6:$P$197, MATCH($B25&amp;"% GDP", Database!$AD$6:$AD$197, 0)), "")</f>
        <v>1.2490396517887212</v>
      </c>
      <c r="U25" s="836">
        <f>IF(ISNUMBER(INDEX(Database!$Q$6:$Q$197, MATCH($B25&amp;"% GDP", Database!$AD$6:$AD$197, 0))), INDEX(Database!$Q$6:$Q$197, MATCH($B25&amp;"% GDP", Database!$AD$6:$AD$197, 0)), "")</f>
        <v>8.3211524338457493E-2</v>
      </c>
      <c r="V25" s="836"/>
      <c r="W25" s="836">
        <f>IF(ISNUMBER(INDEX(Database!$U$6:$U$197, MATCH($B25&amp;"% GDP", Database!$AD$6:$AD$197, 0))), INDEX(Database!$U$6:$U$197, MATCH($B25&amp;"% GDP", Database!$AD$6:$AD$197, 0)), "")</f>
        <v>2.6003601355767965E-2</v>
      </c>
      <c r="X25" s="836">
        <f>IF(ISNUMBER(INDEX(Database!$W$6:$W$197, MATCH($B25&amp;"% GDP", Database!$AD$6:$AD$197, 0))), INDEX(Database!$W$6:$W$197, MATCH($B25&amp;"% GDP", Database!$AD$6:$AD$197, 0)), "")</f>
        <v>1.1398245260944957</v>
      </c>
      <c r="AB25" s="562"/>
    </row>
    <row r="26" spans="1:28">
      <c r="B26" s="764" t="s">
        <v>15</v>
      </c>
      <c r="C26" s="831">
        <f>IF(ISNUMBER(INDEX(Database!$G$6:$G$197, MATCH($B26&amp;"USD bn", Database!$AD$6:$AD$197, 0))), INDEX(Database!$G$6:$G$197, MATCH($B26&amp;"USD bn", Database!$AD$6:$AD$197, 0)), "")</f>
        <v>74.006320564062733</v>
      </c>
      <c r="D26" s="832">
        <f>IF(ISNUMBER(INDEX(Database!$H$6:$H$197, MATCH($B26&amp;"USD bn", Database!$AD$6:$AD$197, 0))), INDEX(Database!$H$6:$H$197, MATCH($B26&amp;"USD bn", Database!$AD$6:$AD$197, 0)), "")</f>
        <v>10.712532393938853</v>
      </c>
      <c r="E26" s="832">
        <f>IF(ISNUMBER(INDEX(Database!$J$6:$J$197, MATCH($B26&amp;"USD bn", Database!$AD$6:$AD$197, 0))), INDEX(Database!$J$6:$J$197, MATCH($B26&amp;"USD bn", Database!$AD$6:$AD$197, 0)), "")</f>
        <v>63.293788170123882</v>
      </c>
      <c r="F26" s="833">
        <f>IF(ISNUMBER(INDEX(Database!$L$6:$L$197, MATCH($B26&amp;"USD bn", Database!$AD$6:$AD$197, 0))), INDEX(Database!$L$6:$L$197, MATCH($B26&amp;"USD bn", Database!$AD$6:$AD$197, 0)), "")</f>
        <v>6.3584063241443518</v>
      </c>
      <c r="G26" s="832"/>
      <c r="H26" s="831">
        <f>IF(ISNUMBER(INDEX(Database!$P$6:$P$197, MATCH($B26&amp;"USD bn", Database!$AD$6:$AD$197, 0))), INDEX(Database!$P$6:$P$197, MATCH($B26&amp;"USD bn", Database!$AD$6:$AD$197, 0)), "")</f>
        <v>21.660049369422172</v>
      </c>
      <c r="I26" s="837">
        <f>IF(ISNUMBER(INDEX(Database!$Q$6:$Q$197, MATCH($B26&amp;"USD bn", Database!$AD$6:$AD$197, 0))), INDEX(Database!$Q$6:$Q$197, MATCH($B26&amp;"USD bn", Database!$AD$6:$AD$197, 0)), "")</f>
        <v>7.837426925630103</v>
      </c>
      <c r="J26" s="837"/>
      <c r="K26" s="837">
        <f>IF(ISNUMBER(INDEX(Database!$U$6:$U$197, MATCH($B26&amp;"USD bn", Database!$AD$6:$AD$197, 0))), INDEX(Database!$U$6:$U$197, MATCH($B26&amp;"USD bn", Database!$AD$6:$AD$197, 0)), "")</f>
        <v>6.9113112218960344</v>
      </c>
      <c r="L26" s="837">
        <f>IF(ISNUMBER(INDEX(Database!$W$6:$W$197, MATCH($B26&amp;"USD bn", Database!$AD$6:$AD$197, 0))), INDEX(Database!$W$6:$W$197, MATCH($B26&amp;"USD bn", Database!$AD$6:$AD$197, 0)), "")</f>
        <v>6.9113112218960344</v>
      </c>
      <c r="M26" s="834"/>
      <c r="N26" s="834"/>
      <c r="O26" s="835">
        <f>IF(ISNUMBER(INDEX(Database!$G$6:$G$197, MATCH($B26&amp;"% GDP", Database!$AD$6:$AD$197, 0))), INDEX(Database!$G$6:$G$197, MATCH($B26&amp;"% GDP", Database!$AD$6:$AD$197, 0)), "")</f>
        <v>5.0052604782800296</v>
      </c>
      <c r="P26" s="836">
        <f>IF(ISNUMBER(INDEX(Database!$H$6:$H$197, MATCH($B26&amp;"% GDP", Database!$AD$6:$AD$197, 0))), INDEX(Database!$H$6:$H$197, MATCH($B26&amp;"% GDP", Database!$AD$6:$AD$197, 0)), "")</f>
        <v>0.72451940057284703</v>
      </c>
      <c r="Q26" s="836">
        <f>IF(ISNUMBER(INDEX(Database!$J$6:$J$197, MATCH($B26&amp;"% GDP", Database!$AD$6:$AD$197, 0))), INDEX(Database!$J$6:$J$197, MATCH($B26&amp;"% GDP", Database!$AD$6:$AD$197, 0)), "")</f>
        <v>4.2807410777071828</v>
      </c>
      <c r="R26" s="836">
        <f>IF(ISNUMBER(INDEX(Database!$L$6:$L$197, MATCH($B26&amp;"% GDP", Database!$AD$6:$AD$197, 0))), INDEX(Database!$L$6:$L$197, MATCH($B26&amp;"% GDP", Database!$AD$6:$AD$197, 0)), "")</f>
        <v>0.43003732163033498</v>
      </c>
      <c r="S26" s="836"/>
      <c r="T26" s="835">
        <f>IF(ISNUMBER(INDEX(Database!$P$6:$P$197, MATCH($B26&amp;"% GDP", Database!$AD$6:$AD$197, 0))), INDEX(Database!$P$6:$P$197, MATCH($B26&amp;"% GDP", Database!$AD$6:$AD$197, 0)), "")</f>
        <v>1.464931484771163</v>
      </c>
      <c r="U26" s="836">
        <f>IF(ISNUMBER(INDEX(Database!$Q$6:$Q$197, MATCH($B26&amp;"% GDP", Database!$AD$6:$AD$197, 0))), INDEX(Database!$Q$6:$Q$197, MATCH($B26&amp;"% GDP", Database!$AD$6:$AD$197, 0)), "")</f>
        <v>0.53006774209652163</v>
      </c>
      <c r="V26" s="836"/>
      <c r="W26" s="836">
        <f>IF(ISNUMBER(INDEX(Database!$U$6:$U$197, MATCH($B26&amp;"% GDP", Database!$AD$6:$AD$197, 0))), INDEX(Database!$U$6:$U$197, MATCH($B26&amp;"% GDP", Database!$AD$6:$AD$197, 0)), "")</f>
        <v>0.46743187133732073</v>
      </c>
      <c r="X26" s="836">
        <f>IF(ISNUMBER(INDEX(Database!$W$6:$W$197, MATCH($B26&amp;"% GDP", Database!$AD$6:$AD$197, 0))), INDEX(Database!$W$6:$W$197, MATCH($B26&amp;"% GDP", Database!$AD$6:$AD$197, 0)), "")</f>
        <v>0.46743187133732073</v>
      </c>
      <c r="AB26" s="562"/>
    </row>
    <row r="27" spans="1:28">
      <c r="B27" s="764" t="s">
        <v>16</v>
      </c>
      <c r="C27" s="831">
        <f>IF(ISNUMBER(INDEX(Database!$G$6:$G$197, MATCH($B27&amp;"USD bn", Database!$AD$6:$AD$197, 0))), INDEX(Database!$G$6:$G$197, MATCH($B27&amp;"USD bn", Database!$AD$6:$AD$197, 0)), "")</f>
        <v>18.026666666666664</v>
      </c>
      <c r="D27" s="832">
        <f>IF(ISNUMBER(INDEX(Database!$H$6:$H$197, MATCH($B27&amp;"USD bn", Database!$AD$6:$AD$197, 0))), INDEX(Database!$H$6:$H$197, MATCH($B27&amp;"USD bn", Database!$AD$6:$AD$197, 0)), "")</f>
        <v>14.4</v>
      </c>
      <c r="E27" s="832">
        <f>IF(ISNUMBER(INDEX(Database!$J$6:$J$197, MATCH($B27&amp;"USD bn", Database!$AD$6:$AD$197, 0))), INDEX(Database!$J$6:$J$197, MATCH($B27&amp;"USD bn", Database!$AD$6:$AD$197, 0)), "")</f>
        <v>3.6266666666666665</v>
      </c>
      <c r="F27" s="833">
        <f>IF(ISNUMBER(INDEX(Database!$L$6:$L$197, MATCH($B27&amp;"USD bn", Database!$AD$6:$AD$197, 0))), INDEX(Database!$L$6:$L$197, MATCH($B27&amp;"USD bn", Database!$AD$6:$AD$197, 0)), "")</f>
        <v>11.333333333333334</v>
      </c>
      <c r="G27" s="832"/>
      <c r="H27" s="831">
        <f>IF(ISNUMBER(INDEX(Database!$P$6:$P$197, MATCH($B27&amp;"USD bn", Database!$AD$6:$AD$197, 0))), INDEX(Database!$P$6:$P$197, MATCH($B27&amp;"USD bn", Database!$AD$6:$AD$197, 0)), "")</f>
        <v>6.8533333333333335</v>
      </c>
      <c r="I27" s="837">
        <f>IF(ISNUMBER(INDEX(Database!$Q$6:$Q$197, MATCH($B27&amp;"USD bn", Database!$AD$6:$AD$197, 0))), INDEX(Database!$Q$6:$Q$197, MATCH($B27&amp;"USD bn", Database!$AD$6:$AD$197, 0)), "")</f>
        <v>6.8533333333333335</v>
      </c>
      <c r="J27" s="837"/>
      <c r="K27" s="837" t="str">
        <f>IF(ISNUMBER(INDEX(Database!$U$6:$U$197, MATCH($B27&amp;"USD bn", Database!$AD$6:$AD$197, 0))), INDEX(Database!$U$6:$U$197, MATCH($B27&amp;"USD bn", Database!$AD$6:$AD$197, 0)), "")</f>
        <v/>
      </c>
      <c r="L27" s="837" t="str">
        <f>IF(ISNUMBER(INDEX(Database!$W$6:$W$197, MATCH($B27&amp;"USD bn", Database!$AD$6:$AD$197, 0))), INDEX(Database!$W$6:$W$197, MATCH($B27&amp;"USD bn", Database!$AD$6:$AD$197, 0)), "")</f>
        <v/>
      </c>
      <c r="M27" s="834"/>
      <c r="N27" s="834"/>
      <c r="O27" s="835">
        <f>IF(ISNUMBER(INDEX(Database!$G$6:$G$197, MATCH($B27&amp;"% GDP", Database!$AD$6:$AD$197, 0))), INDEX(Database!$G$6:$G$197, MATCH($B27&amp;"% GDP", Database!$AD$6:$AD$197, 0)), "")</f>
        <v>2.5748045471962433</v>
      </c>
      <c r="P27" s="836">
        <f>IF(ISNUMBER(INDEX(Database!$H$6:$H$197, MATCH($B27&amp;"% GDP", Database!$AD$6:$AD$197, 0))), INDEX(Database!$H$6:$H$197, MATCH($B27&amp;"% GDP", Database!$AD$6:$AD$197, 0)), "")</f>
        <v>2.0567965317839816</v>
      </c>
      <c r="Q27" s="836">
        <f>IF(ISNUMBER(INDEX(Database!$J$6:$J$197, MATCH($B27&amp;"% GDP", Database!$AD$6:$AD$197, 0))), INDEX(Database!$J$6:$J$197, MATCH($B27&amp;"% GDP", Database!$AD$6:$AD$197, 0)), "")</f>
        <v>0.51800801541226205</v>
      </c>
      <c r="R27" s="836">
        <f>IF(ISNUMBER(INDEX(Database!$L$6:$L$197, MATCH($B27&amp;"% GDP", Database!$AD$6:$AD$197, 0))), INDEX(Database!$L$6:$L$197, MATCH($B27&amp;"% GDP", Database!$AD$6:$AD$197, 0)), "")</f>
        <v>1.6187750329433777</v>
      </c>
      <c r="S27" s="836"/>
      <c r="T27" s="835">
        <f>IF(ISNUMBER(INDEX(Database!$P$6:$P$197, MATCH($B27&amp;"% GDP", Database!$AD$6:$AD$197, 0))), INDEX(Database!$P$6:$P$197, MATCH($B27&amp;"% GDP", Database!$AD$6:$AD$197, 0)), "")</f>
        <v>0.97888278462693656</v>
      </c>
      <c r="U27" s="836">
        <f>IF(ISNUMBER(INDEX(Database!$Q$6:$Q$197, MATCH($B27&amp;"% GDP", Database!$AD$6:$AD$197, 0))), INDEX(Database!$Q$6:$Q$197, MATCH($B27&amp;"% GDP", Database!$AD$6:$AD$197, 0)), "")</f>
        <v>0.97888278462693656</v>
      </c>
      <c r="V27" s="836"/>
      <c r="W27" s="836" t="str">
        <f>IF(ISNUMBER(INDEX(Database!$U$6:$U$197, MATCH($B27&amp;"% GDP", Database!$AD$6:$AD$197, 0))), INDEX(Database!$U$6:$U$197, MATCH($B27&amp;"% GDP", Database!$AD$6:$AD$197, 0)), "")</f>
        <v/>
      </c>
      <c r="X27" s="836" t="str">
        <f>IF(ISNUMBER(INDEX(Database!$W$6:$W$197, MATCH($B27&amp;"% GDP", Database!$AD$6:$AD$197, 0))), INDEX(Database!$W$6:$W$197, MATCH($B27&amp;"% GDP", Database!$AD$6:$AD$197, 0)), "")</f>
        <v/>
      </c>
      <c r="AB27" s="562"/>
    </row>
    <row r="28" spans="1:28">
      <c r="B28" s="764" t="s">
        <v>17</v>
      </c>
      <c r="C28" s="831">
        <f>IF(ISNUMBER(INDEX(Database!$G$6:$G$197, MATCH($B28&amp;"USD bn", Database!$AD$6:$AD$197, 0))), INDEX(Database!$G$6:$G$197, MATCH($B28&amp;"USD bn", Database!$AD$6:$AD$197, 0)), "")</f>
        <v>17.693238243228844</v>
      </c>
      <c r="D28" s="832">
        <f>IF(ISNUMBER(INDEX(Database!$H$6:$H$197, MATCH($B28&amp;"USD bn", Database!$AD$6:$AD$197, 0))), INDEX(Database!$H$6:$H$197, MATCH($B28&amp;"USD bn", Database!$AD$6:$AD$197, 0)), "")</f>
        <v>2.3262994325975441</v>
      </c>
      <c r="E28" s="832">
        <f>IF(ISNUMBER(INDEX(Database!$J$6:$J$197, MATCH($B28&amp;"USD bn", Database!$AD$6:$AD$197, 0))), INDEX(Database!$J$6:$J$197, MATCH($B28&amp;"USD bn", Database!$AD$6:$AD$197, 0)), "")</f>
        <v>15.366938810631298</v>
      </c>
      <c r="F28" s="833">
        <f>IF(ISNUMBER(INDEX(Database!$L$6:$L$197, MATCH($B28&amp;"USD bn", Database!$AD$6:$AD$197, 0))), INDEX(Database!$L$6:$L$197, MATCH($B28&amp;"USD bn", Database!$AD$6:$AD$197, 0)), "")</f>
        <v>2.6725110975010953</v>
      </c>
      <c r="G28" s="832"/>
      <c r="H28" s="831">
        <f>IF(ISNUMBER(INDEX(Database!$P$6:$P$197, MATCH($B28&amp;"USD bn", Database!$AD$6:$AD$197, 0))), INDEX(Database!$P$6:$P$197, MATCH($B28&amp;"USD bn", Database!$AD$6:$AD$197, 0)), "")</f>
        <v>12.32999438165278</v>
      </c>
      <c r="I28" s="837" t="str">
        <f>IF(ISNUMBER(INDEX(Database!$Q$6:$Q$197, MATCH($B28&amp;"USD bn", Database!$AD$6:$AD$197, 0))), INDEX(Database!$Q$6:$Q$197, MATCH($B28&amp;"USD bn", Database!$AD$6:$AD$197, 0)), "")</f>
        <v/>
      </c>
      <c r="J28" s="837"/>
      <c r="K28" s="837">
        <f>IF(ISNUMBER(INDEX(Database!$U$6:$U$197, MATCH($B28&amp;"USD bn", Database!$AD$6:$AD$197, 0))), INDEX(Database!$U$6:$U$197, MATCH($B28&amp;"USD bn", Database!$AD$6:$AD$197, 0)), "")</f>
        <v>12.147777715914069</v>
      </c>
      <c r="L28" s="837">
        <f>IF(ISNUMBER(INDEX(Database!$W$6:$W$197, MATCH($B28&amp;"USD bn", Database!$AD$6:$AD$197, 0))), INDEX(Database!$W$6:$W$197, MATCH($B28&amp;"USD bn", Database!$AD$6:$AD$197, 0)), "")</f>
        <v>0.18221666573871104</v>
      </c>
      <c r="M28" s="834"/>
      <c r="N28" s="834"/>
      <c r="O28" s="835">
        <f>IF(ISNUMBER(INDEX(Database!$G$6:$G$197, MATCH($B28&amp;"% GDP", Database!$AD$6:$AD$197, 0))), INDEX(Database!$G$6:$G$197, MATCH($B28&amp;"% GDP", Database!$AD$6:$AD$197, 0)), "")</f>
        <v>5.2761463161134641</v>
      </c>
      <c r="P28" s="836">
        <f>IF(ISNUMBER(INDEX(Database!$H$6:$H$197, MATCH($B28&amp;"% GDP", Database!$AD$6:$AD$197, 0))), INDEX(Database!$H$6:$H$197, MATCH($B28&amp;"% GDP", Database!$AD$6:$AD$197, 0)), "")</f>
        <v>0.69370547170321195</v>
      </c>
      <c r="Q28" s="836">
        <f>IF(ISNUMBER(INDEX(Database!$J$6:$J$197, MATCH($B28&amp;"% GDP", Database!$AD$6:$AD$197, 0))), INDEX(Database!$J$6:$J$197, MATCH($B28&amp;"% GDP", Database!$AD$6:$AD$197, 0)), "")</f>
        <v>4.582440844410252</v>
      </c>
      <c r="R28" s="836">
        <f>IF(ISNUMBER(INDEX(Database!$L$6:$L$197, MATCH($B28&amp;"% GDP", Database!$AD$6:$AD$197, 0))), INDEX(Database!$L$6:$L$197, MATCH($B28&amp;"% GDP", Database!$AD$6:$AD$197, 0)), "")</f>
        <v>0.88478224805071415</v>
      </c>
      <c r="S28" s="836"/>
      <c r="T28" s="835">
        <f>IF(ISNUMBER(INDEX(Database!$P$6:$P$197, MATCH($B28&amp;"% GDP", Database!$AD$6:$AD$197, 0))), INDEX(Database!$P$6:$P$197, MATCH($B28&amp;"% GDP", Database!$AD$6:$AD$197, 0)), "")</f>
        <v>4.0820635535067034</v>
      </c>
      <c r="U28" s="836" t="str">
        <f>IF(ISNUMBER(INDEX(Database!$Q$6:$Q$197, MATCH($B28&amp;"% GDP", Database!$AD$6:$AD$197, 0))), INDEX(Database!$Q$6:$Q$197, MATCH($B28&amp;"% GDP", Database!$AD$6:$AD$197, 0)), "")</f>
        <v/>
      </c>
      <c r="V28" s="836"/>
      <c r="W28" s="836">
        <f>IF(ISNUMBER(INDEX(Database!$U$6:$U$197, MATCH($B28&amp;"% GDP", Database!$AD$6:$AD$197, 0))), INDEX(Database!$U$6:$U$197, MATCH($B28&amp;"% GDP", Database!$AD$6:$AD$197, 0)), "")</f>
        <v>4.0217374911396089</v>
      </c>
      <c r="X28" s="836">
        <f>IF(ISNUMBER(INDEX(Database!$W$6:$W$197, MATCH($B28&amp;"% GDP", Database!$AD$6:$AD$197, 0))), INDEX(Database!$W$6:$W$197, MATCH($B28&amp;"% GDP", Database!$AD$6:$AD$197, 0)), "")</f>
        <v>6.032606236709414E-2</v>
      </c>
      <c r="AB28" s="562"/>
    </row>
    <row r="29" spans="1:28">
      <c r="B29" s="764" t="s">
        <v>18</v>
      </c>
      <c r="C29" s="831">
        <f>IF(ISNUMBER(INDEX(Database!$G$6:$G$197, MATCH($B29&amp;"USD bn", Database!$AD$6:$AD$197, 0))), INDEX(Database!$G$6:$G$197, MATCH($B29&amp;"USD bn", Database!$AD$6:$AD$197, 0)), "")</f>
        <v>25.234121210982789</v>
      </c>
      <c r="D29" s="832">
        <f>IF(ISNUMBER(INDEX(Database!$H$6:$H$197, MATCH($B29&amp;"USD bn", Database!$AD$6:$AD$197, 0))), INDEX(Database!$H$6:$H$197, MATCH($B29&amp;"USD bn", Database!$AD$6:$AD$197, 0)), "")</f>
        <v>2.7673372045961901</v>
      </c>
      <c r="E29" s="832">
        <f>IF(ISNUMBER(INDEX(Database!$J$6:$J$197, MATCH($B29&amp;"USD bn", Database!$AD$6:$AD$197, 0))), INDEX(Database!$J$6:$J$197, MATCH($B29&amp;"USD bn", Database!$AD$6:$AD$197, 0)), "")</f>
        <v>22.466784006386597</v>
      </c>
      <c r="F29" s="833">
        <f>IF(ISNUMBER(INDEX(Database!$L$6:$L$197, MATCH($B29&amp;"USD bn", Database!$AD$6:$AD$197, 0))), INDEX(Database!$L$6:$L$197, MATCH($B29&amp;"USD bn", Database!$AD$6:$AD$197, 0)), "")</f>
        <v>10.01376658570374</v>
      </c>
      <c r="G29" s="832"/>
      <c r="H29" s="831">
        <f>IF(ISNUMBER(INDEX(Database!$P$6:$P$197, MATCH($B29&amp;"USD bn", Database!$AD$6:$AD$197, 0))), INDEX(Database!$P$6:$P$197, MATCH($B29&amp;"USD bn", Database!$AD$6:$AD$197, 0)), "")</f>
        <v>69.354605612096279</v>
      </c>
      <c r="I29" s="837">
        <f>IF(ISNUMBER(INDEX(Database!$Q$6:$Q$197, MATCH($B29&amp;"USD bn", Database!$AD$6:$AD$197, 0))), INDEX(Database!$Q$6:$Q$197, MATCH($B29&amp;"USD bn", Database!$AD$6:$AD$197, 0)), "")</f>
        <v>2.995571200851546</v>
      </c>
      <c r="J29" s="837"/>
      <c r="K29" s="837">
        <f>IF(ISNUMBER(INDEX(Database!$U$6:$U$197, MATCH($B29&amp;"USD bn", Database!$AD$6:$AD$197, 0))), INDEX(Database!$U$6:$U$197, MATCH($B29&amp;"USD bn", Database!$AD$6:$AD$197, 0)), "")</f>
        <v>45.932091746390377</v>
      </c>
      <c r="L29" s="837">
        <f>IF(ISNUMBER(INDEX(Database!$W$6:$W$197, MATCH($B29&amp;"USD bn", Database!$AD$6:$AD$197, 0))), INDEX(Database!$W$6:$W$197, MATCH($B29&amp;"USD bn", Database!$AD$6:$AD$197, 0)), "")</f>
        <v>20.426942664854352</v>
      </c>
      <c r="M29" s="834"/>
      <c r="N29" s="834"/>
      <c r="O29" s="835">
        <f>IF(ISNUMBER(INDEX(Database!$G$6:$G$197, MATCH($B29&amp;"% GDP", Database!$AD$6:$AD$197, 0))), INDEX(Database!$G$6:$G$197, MATCH($B29&amp;"% GDP", Database!$AD$6:$AD$197, 0)), "")</f>
        <v>3.5051335544057456</v>
      </c>
      <c r="P29" s="836">
        <f>IF(ISNUMBER(INDEX(Database!$H$6:$H$197, MATCH($B29&amp;"% GDP", Database!$AD$6:$AD$197, 0))), INDEX(Database!$H$6:$H$197, MATCH($B29&amp;"% GDP", Database!$AD$6:$AD$197, 0)), "")</f>
        <v>0.3843956526595334</v>
      </c>
      <c r="Q29" s="836">
        <f>IF(ISNUMBER(INDEX(Database!$J$6:$J$197, MATCH($B29&amp;"% GDP", Database!$AD$6:$AD$197, 0))), INDEX(Database!$J$6:$J$197, MATCH($B29&amp;"% GDP", Database!$AD$6:$AD$197, 0)), "")</f>
        <v>3.120737901746212</v>
      </c>
      <c r="R29" s="836">
        <f>IF(ISNUMBER(INDEX(Database!$L$6:$L$197, MATCH($B29&amp;"% GDP", Database!$AD$6:$AD$197, 0))), INDEX(Database!$L$6:$L$197, MATCH($B29&amp;"% GDP", Database!$AD$6:$AD$197, 0)), "")</f>
        <v>1.3909574647783118</v>
      </c>
      <c r="S29" s="836"/>
      <c r="T29" s="835">
        <f>IF(ISNUMBER(INDEX(Database!$P$6:$P$197, MATCH($B29&amp;"% GDP", Database!$AD$6:$AD$197, 0))), INDEX(Database!$P$6:$P$197, MATCH($B29&amp;"% GDP", Database!$AD$6:$AD$197, 0)), "")</f>
        <v>9.6336683671683065</v>
      </c>
      <c r="U29" s="836">
        <f>IF(ISNUMBER(INDEX(Database!$Q$6:$Q$197, MATCH($B29&amp;"% GDP", Database!$AD$6:$AD$197, 0))), INDEX(Database!$Q$6:$Q$197, MATCH($B29&amp;"% GDP", Database!$AD$6:$AD$197, 0)), "")</f>
        <v>0.41609838689949497</v>
      </c>
      <c r="V29" s="836"/>
      <c r="W29" s="836">
        <f>IF(ISNUMBER(INDEX(Database!$U$6:$U$197, MATCH($B29&amp;"% GDP", Database!$AD$6:$AD$197, 0))), INDEX(Database!$U$6:$U$197, MATCH($B29&amp;"% GDP", Database!$AD$6:$AD$197, 0)), "")</f>
        <v>6.3801752657922552</v>
      </c>
      <c r="X29" s="836">
        <f>IF(ISNUMBER(INDEX(Database!$W$6:$W$197, MATCH($B29&amp;"% GDP", Database!$AD$6:$AD$197, 0))), INDEX(Database!$W$6:$W$197, MATCH($B29&amp;"% GDP", Database!$AD$6:$AD$197, 0)), "")</f>
        <v>2.8373947144765559</v>
      </c>
      <c r="AB29" s="562"/>
    </row>
    <row r="30" spans="1:28">
      <c r="B30" s="838" t="s">
        <v>776</v>
      </c>
      <c r="C30" s="835"/>
      <c r="D30" s="836"/>
      <c r="E30" s="836"/>
      <c r="F30" s="836"/>
      <c r="G30" s="817"/>
      <c r="H30" s="835" t="str">
        <f>IF(ISNUMBER(INDEX(Database!$P$6:$P$197, MATCH($B30&amp;"USD bn", Database!$AD$6:$AD$197, 0))), INDEX(Database!$P$6:$P$197, MATCH($B30&amp;"USD bn", Database!$AD$6:$AD$197, 0)), "")</f>
        <v/>
      </c>
      <c r="I30" s="837" t="str">
        <f>IF(ISNUMBER(INDEX(Database!$Q$6:$Q$197, MATCH($B30&amp;"USD bn", Database!$AD$6:$AD$197, 0))), INDEX(Database!$Q$6:$Q$197, MATCH($B30&amp;"USD bn", Database!$AD$6:$AD$197, 0)), "")</f>
        <v/>
      </c>
      <c r="J30" s="837"/>
      <c r="K30" s="837" t="str">
        <f>IF(ISNUMBER(INDEX(Database!$U$6:$U$197, MATCH($B30&amp;"USD bn", Database!$AD$6:$AD$197, 0))), INDEX(Database!$U$6:$U$197, MATCH($B30&amp;"USD bn", Database!$AD$6:$AD$197, 0)), "")</f>
        <v/>
      </c>
      <c r="L30" s="837" t="str">
        <f>IF(ISNUMBER(INDEX(Database!$W$6:$W$197, MATCH($B30&amp;"USD bn", Database!$AD$6:$AD$197, 0))), INDEX(Database!$W$6:$W$197, MATCH($B30&amp;"USD bn", Database!$AD$6:$AD$197, 0)), "")</f>
        <v/>
      </c>
      <c r="M30" s="817"/>
      <c r="N30" s="817"/>
      <c r="O30" s="835" t="str">
        <f>IF(ISNUMBER(INDEX(Database!$G$6:$G$197, MATCH($B30&amp;"% GDP", Database!$AD$6:$AD$197, 0))), INDEX(Database!$G$6:$G$197, MATCH($B30&amp;"% GDP", Database!$AD$6:$AD$197, 0)), "")</f>
        <v/>
      </c>
      <c r="P30" s="836" t="str">
        <f>IF(ISNUMBER(INDEX(Database!$H$6:$H$197, MATCH($B30&amp;"% GDP", Database!$AD$6:$AD$197, 0))), INDEX(Database!$H$6:$H$197, MATCH($B30&amp;"% GDP", Database!$AD$6:$AD$197, 0)), "")</f>
        <v/>
      </c>
      <c r="Q30" s="836" t="str">
        <f>IF(ISNUMBER(INDEX(Database!$J$6:$J$197, MATCH($B30&amp;"% GDP", Database!$AD$6:$AD$197, 0))), INDEX(Database!$J$6:$J$197, MATCH($B30&amp;"% GDP", Database!$AD$6:$AD$197, 0)), "")</f>
        <v/>
      </c>
      <c r="R30" s="836" t="str">
        <f>IF(ISNUMBER(INDEX(Database!$L$6:$L$197, MATCH($B30&amp;"% GDP", Database!$AD$6:$AD$197, 0))), INDEX(Database!$L$6:$L$197, MATCH($B30&amp;"% GDP", Database!$AD$6:$AD$197, 0)), "")</f>
        <v/>
      </c>
      <c r="S30" s="836"/>
      <c r="T30" s="835" t="str">
        <f>IF(ISNUMBER(INDEX(Database!$P$6:$P$197, MATCH($B30&amp;"% GDP", Database!$AD$6:$AD$197, 0))), INDEX(Database!$P$6:$P$197, MATCH($B30&amp;"% GDP", Database!$AD$6:$AD$197, 0)), "")</f>
        <v/>
      </c>
      <c r="U30" s="836" t="str">
        <f>IF(ISNUMBER(INDEX(Database!$Q$6:$Q$197, MATCH($B30&amp;"% GDP", Database!$AD$6:$AD$197, 0))), INDEX(Database!$Q$6:$Q$197, MATCH($B30&amp;"% GDP", Database!$AD$6:$AD$197, 0)), "")</f>
        <v/>
      </c>
      <c r="V30" s="836"/>
      <c r="W30" s="836" t="str">
        <f>IF(ISNUMBER(INDEX(Database!$U$6:$U$197, MATCH($B30&amp;"% GDP", Database!$AD$6:$AD$197, 0))), INDEX(Database!$U$6:$U$197, MATCH($B30&amp;"% GDP", Database!$AD$6:$AD$197, 0)), "")</f>
        <v/>
      </c>
      <c r="X30" s="836" t="str">
        <f>IF(ISNUMBER(INDEX(Database!$W$6:$W$197, MATCH($B30&amp;"% GDP", Database!$AD$6:$AD$197, 0))), INDEX(Database!$W$6:$W$197, MATCH($B30&amp;"% GDP", Database!$AD$6:$AD$197, 0)), "")</f>
        <v/>
      </c>
      <c r="AB30" s="565"/>
    </row>
    <row r="31" spans="1:28">
      <c r="B31" s="7" t="s">
        <v>1011</v>
      </c>
      <c r="C31" s="839">
        <v>35.877305116828559</v>
      </c>
      <c r="D31" s="833">
        <v>2.0180984128216064</v>
      </c>
      <c r="E31" s="833">
        <v>33.859206704006951</v>
      </c>
      <c r="F31" s="833" t="s">
        <v>452</v>
      </c>
      <c r="G31" s="832"/>
      <c r="H31" s="839">
        <v>10.090492064108032</v>
      </c>
      <c r="I31" s="833" t="s">
        <v>452</v>
      </c>
      <c r="J31" s="837"/>
      <c r="K31" s="833">
        <v>10.090492064108032</v>
      </c>
      <c r="L31" s="833" t="s">
        <v>452</v>
      </c>
      <c r="M31" s="817"/>
      <c r="N31" s="817"/>
      <c r="O31" s="839">
        <v>8.6190786188140986</v>
      </c>
      <c r="P31" s="833">
        <v>0.48482317230829303</v>
      </c>
      <c r="Q31" s="833">
        <v>8.1342554465058043</v>
      </c>
      <c r="R31" s="833" t="s">
        <v>452</v>
      </c>
      <c r="S31" s="832"/>
      <c r="T31" s="839">
        <v>2.4241158615414649</v>
      </c>
      <c r="U31" s="833" t="s">
        <v>452</v>
      </c>
      <c r="V31" s="837"/>
      <c r="W31" s="833">
        <v>2.4241158615414649</v>
      </c>
      <c r="X31" s="833" t="s">
        <v>452</v>
      </c>
      <c r="AB31" s="718"/>
    </row>
    <row r="32" spans="1:28">
      <c r="B32" s="764" t="s">
        <v>547</v>
      </c>
      <c r="C32" s="831">
        <f>IF(ISNUMBER(INDEX(Database!$G$6:$G$197, MATCH($B32&amp;"USD bn", Database!$AD$6:$AD$197, 0))), INDEX(Database!$G$6:$G$197, MATCH($B32&amp;"USD bn", Database!$AD$6:$AD$197, 0)), "")</f>
        <v>42.45568516798415</v>
      </c>
      <c r="D32" s="832">
        <f>IF(ISNUMBER(INDEX(Database!$H$6:$H$197, MATCH($B32&amp;"USD bn", Database!$AD$6:$AD$197, 0))), INDEX(Database!$H$6:$H$197, MATCH($B32&amp;"USD bn", Database!$AD$6:$AD$197, 0)), "")</f>
        <v>10.95630584980236</v>
      </c>
      <c r="E32" s="832">
        <f>IF(ISNUMBER(INDEX(Database!$J$6:$J$197, MATCH($B32&amp;"USD bn", Database!$AD$6:$AD$197, 0))), INDEX(Database!$J$6:$J$197, MATCH($B32&amp;"USD bn", Database!$AD$6:$AD$197, 0)), "")</f>
        <v>31.499379318181788</v>
      </c>
      <c r="F32" s="833">
        <f>IF(ISNUMBER(INDEX(Database!$L$6:$L$197, MATCH($B32&amp;"USD bn", Database!$AD$6:$AD$197, 0))), INDEX(Database!$L$6:$L$197, MATCH($B32&amp;"USD bn", Database!$AD$6:$AD$197, 0)), "")</f>
        <v>14.722535985671922</v>
      </c>
      <c r="G32" s="832"/>
      <c r="H32" s="831">
        <f>IF(ISNUMBER(INDEX(Database!$P$6:$P$197, MATCH($B32&amp;"USD bn", Database!$AD$6:$AD$197, 0))), INDEX(Database!$P$6:$P$197, MATCH($B32&amp;"USD bn", Database!$AD$6:$AD$197, 0)), "")</f>
        <v>61.172707661396508</v>
      </c>
      <c r="I32" s="837">
        <f>IF(ISNUMBER(INDEX(Database!$Q$6:$Q$197, MATCH($B32&amp;"USD bn", Database!$AD$6:$AD$197, 0))), INDEX(Database!$Q$6:$Q$197, MATCH($B32&amp;"USD bn", Database!$AD$6:$AD$197, 0)), "")</f>
        <v>1.8260509749670601</v>
      </c>
      <c r="J32" s="837"/>
      <c r="K32" s="837">
        <f>IF(ISNUMBER(INDEX(Database!$U$6:$U$197, MATCH($B32&amp;"USD bn", Database!$AD$6:$AD$197, 0))), INDEX(Database!$U$6:$U$197, MATCH($B32&amp;"USD bn", Database!$AD$6:$AD$197, 0)), "")</f>
        <v>59.346656686429448</v>
      </c>
      <c r="L32" s="837" t="str">
        <f>IF(ISNUMBER(INDEX(Database!$W$6:$W$197, MATCH($B32&amp;"USD bn", Database!$AD$6:$AD$197, 0))), INDEX(Database!$W$6:$W$197, MATCH($B32&amp;"USD bn", Database!$AD$6:$AD$197, 0)), "")</f>
        <v/>
      </c>
      <c r="M32" s="817"/>
      <c r="N32" s="817"/>
      <c r="O32" s="835">
        <f>IF(ISNUMBER(INDEX(Database!$G$6:$G$197, MATCH($B32&amp;"% GDP", Database!$AD$6:$AD$197, 0))), INDEX(Database!$G$6:$G$197, MATCH($B32&amp;"% GDP", Database!$AD$6:$AD$197, 0)), "")</f>
        <v>8.2451011465566726</v>
      </c>
      <c r="P32" s="836">
        <f>IF(ISNUMBER(INDEX(Database!$H$6:$H$197, MATCH($B32&amp;"% GDP", Database!$AD$6:$AD$197, 0))), INDEX(Database!$H$6:$H$197, MATCH($B32&amp;"% GDP", Database!$AD$6:$AD$197, 0)), "")</f>
        <v>2.127768037821077</v>
      </c>
      <c r="Q32" s="836">
        <f>IF(ISNUMBER(INDEX(Database!$J$6:$J$197, MATCH($B32&amp;"% GDP", Database!$AD$6:$AD$197, 0))), INDEX(Database!$J$6:$J$197, MATCH($B32&amp;"% GDP", Database!$AD$6:$AD$197, 0)), "")</f>
        <v>6.117333108735596</v>
      </c>
      <c r="R32" s="836">
        <f>IF(ISNUMBER(INDEX(Database!$L$6:$L$197, MATCH($B32&amp;"% GDP", Database!$AD$6:$AD$197, 0))), INDEX(Database!$L$6:$L$197, MATCH($B32&amp;"% GDP", Database!$AD$6:$AD$197, 0)), "")</f>
        <v>2.8591883008220722</v>
      </c>
      <c r="S32" s="836"/>
      <c r="T32" s="835">
        <f>IF(ISNUMBER(INDEX(Database!$P$6:$P$197, MATCH($B32&amp;"% GDP", Database!$AD$6:$AD$197, 0))), INDEX(Database!$P$6:$P$197, MATCH($B32&amp;"% GDP", Database!$AD$6:$AD$197, 0)), "")</f>
        <v>11.880038211167678</v>
      </c>
      <c r="U32" s="836">
        <f>IF(ISNUMBER(INDEX(Database!$Q$6:$Q$197, MATCH($B32&amp;"% GDP", Database!$AD$6:$AD$197, 0))), INDEX(Database!$Q$6:$Q$197, MATCH($B32&amp;"% GDP", Database!$AD$6:$AD$197, 0)), "")</f>
        <v>0.35462800630351282</v>
      </c>
      <c r="V32" s="836"/>
      <c r="W32" s="836">
        <f>IF(ISNUMBER(INDEX(Database!$U$6:$U$197, MATCH($B32&amp;"% GDP", Database!$AD$6:$AD$197, 0))), INDEX(Database!$U$6:$U$197, MATCH($B32&amp;"% GDP", Database!$AD$6:$AD$197, 0)), "")</f>
        <v>11.525410204864166</v>
      </c>
      <c r="X32" s="836" t="str">
        <f>IF(ISNUMBER(INDEX(Database!$W$6:$W$197, MATCH($B32&amp;"% GDP", Database!$AD$6:$AD$197, 0))), INDEX(Database!$W$6:$W$197, MATCH($B32&amp;"% GDP", Database!$AD$6:$AD$197, 0)), "")</f>
        <v/>
      </c>
      <c r="AB32" s="562"/>
    </row>
    <row r="33" spans="2:28">
      <c r="B33" s="7" t="s">
        <v>1012</v>
      </c>
      <c r="C33" s="839">
        <v>1.0090492064108032</v>
      </c>
      <c r="D33" s="833">
        <v>0.11211657849008924</v>
      </c>
      <c r="E33" s="833">
        <v>0.89693262792071393</v>
      </c>
      <c r="F33" s="833">
        <v>0.3363497354702677</v>
      </c>
      <c r="G33" s="832"/>
      <c r="H33" s="839">
        <v>1.0426841799578299</v>
      </c>
      <c r="I33" s="833">
        <v>0.44846631396035697</v>
      </c>
      <c r="J33" s="837"/>
      <c r="K33" s="833">
        <v>0.59421786599747295</v>
      </c>
      <c r="L33" s="833" t="s">
        <v>452</v>
      </c>
      <c r="M33" s="817"/>
      <c r="N33" s="817"/>
      <c r="O33" s="839">
        <v>4.4912684696242557</v>
      </c>
      <c r="P33" s="833">
        <v>0.49902982995825063</v>
      </c>
      <c r="Q33" s="833">
        <v>3.992238639666005</v>
      </c>
      <c r="R33" s="833">
        <v>1.4970894898747518</v>
      </c>
      <c r="S33" s="832"/>
      <c r="T33" s="839">
        <v>4.6409774186117314</v>
      </c>
      <c r="U33" s="833">
        <v>1.9961193198330025</v>
      </c>
      <c r="V33" s="837"/>
      <c r="W33" s="833">
        <v>2.6448580987787285</v>
      </c>
      <c r="X33" s="833" t="s">
        <v>452</v>
      </c>
      <c r="AB33" s="718"/>
    </row>
    <row r="34" spans="2:28">
      <c r="B34" s="7" t="s">
        <v>541</v>
      </c>
      <c r="C34" s="831">
        <f>IF(ISNUMBER(INDEX(Database!$G$6:$G$197, MATCH($B34&amp;"USD bn", Database!$AD$6:$AD$197, 0))), INDEX(Database!$G$6:$G$197, MATCH($B34&amp;"USD bn", Database!$AD$6:$AD$197, 0)), "")</f>
        <v>22.550381835611422</v>
      </c>
      <c r="D34" s="832">
        <f>IF(ISNUMBER(INDEX(Database!$H$6:$H$197, MATCH($B34&amp;"USD bn", Database!$AD$6:$AD$197, 0))), INDEX(Database!$H$6:$H$197, MATCH($B34&amp;"USD bn", Database!$AD$6:$AD$197, 0)), "")</f>
        <v>6.3937269094473352</v>
      </c>
      <c r="E34" s="832">
        <f>IF(ISNUMBER(INDEX(Database!$J$6:$J$197, MATCH($B34&amp;"USD bn", Database!$AD$6:$AD$197, 0))), INDEX(Database!$J$6:$J$197, MATCH($B34&amp;"USD bn", Database!$AD$6:$AD$197, 0)), "")</f>
        <v>16.156654926164087</v>
      </c>
      <c r="F34" s="833">
        <f>IF(ISNUMBER(INDEX(Database!$L$6:$L$197, MATCH($B34&amp;"USD bn", Database!$AD$6:$AD$197, 0))), INDEX(Database!$L$6:$L$197, MATCH($B34&amp;"USD bn", Database!$AD$6:$AD$197, 0)), "")</f>
        <v>0.61610710785105727</v>
      </c>
      <c r="G34" s="832"/>
      <c r="H34" s="831">
        <f>IF(ISNUMBER(INDEX(Database!$P$6:$P$197, MATCH($B34&amp;"USD bn", Database!$AD$6:$AD$197, 0))), INDEX(Database!$P$6:$P$197, MATCH($B34&amp;"USD bn", Database!$AD$6:$AD$197, 0)), "")</f>
        <v>37.970293297142426</v>
      </c>
      <c r="I34" s="837">
        <f>IF(ISNUMBER(INDEX(Database!$Q$6:$Q$197, MATCH($B34&amp;"USD bn", Database!$AD$6:$AD$197, 0))), INDEX(Database!$Q$6:$Q$197, MATCH($B34&amp;"USD bn", Database!$AD$6:$AD$197, 0)), "")</f>
        <v>3.8775971822793812E-2</v>
      </c>
      <c r="J34" s="837"/>
      <c r="K34" s="837">
        <f>IF(ISNUMBER(INDEX(Database!$U$6:$U$197, MATCH($B34&amp;"USD bn", Database!$AD$6:$AD$197, 0))), INDEX(Database!$U$6:$U$197, MATCH($B34&amp;"USD bn", Database!$AD$6:$AD$197, 0)), "")</f>
        <v>37.931517325319632</v>
      </c>
      <c r="L34" s="837" t="str">
        <f>IF(ISNUMBER(INDEX(Database!$W$6:$W$197, MATCH($B34&amp;"USD bn", Database!$AD$6:$AD$197, 0))), INDEX(Database!$W$6:$W$197, MATCH($B34&amp;"USD bn", Database!$AD$6:$AD$197, 0)), "")</f>
        <v/>
      </c>
      <c r="M34" s="817"/>
      <c r="N34" s="817"/>
      <c r="O34" s="835">
        <f>IF(ISNUMBER(INDEX(Database!$G$6:$G$197, MATCH($B34&amp;"% GDP", Database!$AD$6:$AD$197, 0))), INDEX(Database!$G$6:$G$197, MATCH($B34&amp;"% GDP", Database!$AD$6:$AD$197, 0)), "")</f>
        <v>9.1911264362891103</v>
      </c>
      <c r="P34" s="836">
        <f>IF(ISNUMBER(INDEX(Database!$H$6:$H$197, MATCH($B34&amp;"% GDP", Database!$AD$6:$AD$197, 0))), INDEX(Database!$H$6:$H$197, MATCH($B34&amp;"% GDP", Database!$AD$6:$AD$197, 0)), "")</f>
        <v>2.6059670675301949</v>
      </c>
      <c r="Q34" s="836">
        <f>IF(ISNUMBER(INDEX(Database!$J$6:$J$197, MATCH($B34&amp;"% GDP", Database!$AD$6:$AD$197, 0))), INDEX(Database!$J$6:$J$197, MATCH($B34&amp;"% GDP", Database!$AD$6:$AD$197, 0)), "")</f>
        <v>6.5851593687589149</v>
      </c>
      <c r="R34" s="836">
        <f>IF(ISNUMBER(INDEX(Database!$L$6:$L$197, MATCH($B34&amp;"% GDP", Database!$AD$6:$AD$197, 0))), INDEX(Database!$L$6:$L$197, MATCH($B34&amp;"% GDP", Database!$AD$6:$AD$197, 0)), "")</f>
        <v>0.25111407726200669</v>
      </c>
      <c r="S34" s="836"/>
      <c r="T34" s="835">
        <f>IF(ISNUMBER(INDEX(Database!$P$6:$P$197, MATCH($B34&amp;"% GDP", Database!$AD$6:$AD$197, 0))), INDEX(Database!$P$6:$P$197, MATCH($B34&amp;"% GDP", Database!$AD$6:$AD$197, 0)), "")</f>
        <v>15.476002537832619</v>
      </c>
      <c r="U34" s="836">
        <f>IF(ISNUMBER(INDEX(Database!$Q$6:$Q$197, MATCH($B34&amp;"% GDP", Database!$AD$6:$AD$197, 0))), INDEX(Database!$Q$6:$Q$197, MATCH($B34&amp;"% GDP", Database!$AD$6:$AD$197, 0)), "")</f>
        <v>1.5804382485021397E-2</v>
      </c>
      <c r="V34" s="836"/>
      <c r="W34" s="836">
        <f>IF(ISNUMBER(INDEX(Database!$U$6:$U$197, MATCH($B34&amp;"% GDP", Database!$AD$6:$AD$197, 0))), INDEX(Database!$U$6:$U$197, MATCH($B34&amp;"% GDP", Database!$AD$6:$AD$197, 0)), "")</f>
        <v>15.460198155347598</v>
      </c>
      <c r="X34" s="836" t="str">
        <f>IF(ISNUMBER(INDEX(Database!$W$6:$W$197, MATCH($B34&amp;"% GDP", Database!$AD$6:$AD$197, 0))), INDEX(Database!$W$6:$W$197, MATCH($B34&amp;"% GDP", Database!$AD$6:$AD$197, 0)), "")</f>
        <v/>
      </c>
      <c r="AB34" s="563"/>
    </row>
    <row r="35" spans="2:28">
      <c r="B35" s="7" t="s">
        <v>19</v>
      </c>
      <c r="C35" s="831">
        <f>IF(ISNUMBER(INDEX(Database!$G$6:$G$197, MATCH($B35&amp;"USD bn", Database!$AD$6:$AD$197, 0))), INDEX(Database!$G$6:$G$197, MATCH($B35&amp;"USD bn", Database!$AD$6:$AD$197, 0)), "")</f>
        <v>12.151964295383831</v>
      </c>
      <c r="D35" s="832" t="str">
        <f>IF(ISNUMBER(INDEX(Database!$H$6:$H$197, MATCH($B35&amp;"USD bn", Database!$AD$6:$AD$197, 0))), INDEX(Database!$H$6:$H$197, MATCH($B35&amp;"USD bn", Database!$AD$6:$AD$197, 0)), "")</f>
        <v/>
      </c>
      <c r="E35" s="832">
        <f>IF(ISNUMBER(INDEX(Database!$J$6:$J$197, MATCH($B35&amp;"USD bn", Database!$AD$6:$AD$197, 0))), INDEX(Database!$J$6:$J$197, MATCH($B35&amp;"USD bn", Database!$AD$6:$AD$197, 0)), "")</f>
        <v>12.151964295383831</v>
      </c>
      <c r="F35" s="833">
        <f>IF(ISNUMBER(INDEX(Database!$L$6:$L$197, MATCH($B35&amp;"USD bn", Database!$AD$6:$AD$197, 0))), INDEX(Database!$L$6:$L$197, MATCH($B35&amp;"USD bn", Database!$AD$6:$AD$197, 0)), "")</f>
        <v>48.730141098973149</v>
      </c>
      <c r="G35" s="832"/>
      <c r="H35" s="831">
        <f>IF(ISNUMBER(INDEX(Database!$P$6:$P$197, MATCH($B35&amp;"USD bn", Database!$AD$6:$AD$197, 0))), INDEX(Database!$P$6:$P$197, MATCH($B35&amp;"USD bn", Database!$AD$6:$AD$197, 0)), "")</f>
        <v>55.669753413569694</v>
      </c>
      <c r="I35" s="837">
        <f>IF(ISNUMBER(INDEX(Database!$Q$6:$Q$197, MATCH($B35&amp;"USD bn", Database!$AD$6:$AD$197, 0))), INDEX(Database!$Q$6:$Q$197, MATCH($B35&amp;"USD bn", Database!$AD$6:$AD$197, 0)), "")</f>
        <v>43.105080896833208</v>
      </c>
      <c r="J35" s="837"/>
      <c r="K35" s="837">
        <f>IF(ISNUMBER(INDEX(Database!$U$6:$U$197, MATCH($B35&amp;"USD bn", Database!$AD$6:$AD$197, 0))), INDEX(Database!$U$6:$U$197, MATCH($B35&amp;"USD bn", Database!$AD$6:$AD$197, 0)), "")</f>
        <v>12.56467251673649</v>
      </c>
      <c r="L35" s="837" t="str">
        <f>IF(ISNUMBER(INDEX(Database!$W$6:$W$197, MATCH($B35&amp;"USD bn", Database!$AD$6:$AD$197, 0))), INDEX(Database!$W$6:$W$197, MATCH($B35&amp;"USD bn", Database!$AD$6:$AD$197, 0)), "")</f>
        <v/>
      </c>
      <c r="M35" s="817"/>
      <c r="N35" s="817"/>
      <c r="O35" s="835">
        <f>IF(ISNUMBER(INDEX(Database!$G$6:$G$197, MATCH($B35&amp;"% GDP", Database!$AD$6:$AD$197, 0))), INDEX(Database!$G$6:$G$197, MATCH($B35&amp;"% GDP", Database!$AD$6:$AD$197, 0)), "")</f>
        <v>3.412660153565414</v>
      </c>
      <c r="P35" s="836" t="str">
        <f>IF(ISNUMBER(INDEX(Database!$H$6:$H$197, MATCH($B35&amp;"% GDP", Database!$AD$6:$AD$197, 0))), INDEX(Database!$H$6:$H$197, MATCH($B35&amp;"% GDP", Database!$AD$6:$AD$197, 0)), "")</f>
        <v/>
      </c>
      <c r="Q35" s="836">
        <f>IF(ISNUMBER(INDEX(Database!$J$6:$J$197, MATCH($B35&amp;"% GDP", Database!$AD$6:$AD$197, 0))), INDEX(Database!$J$6:$J$197, MATCH($B35&amp;"% GDP", Database!$AD$6:$AD$197, 0)), "")</f>
        <v>3.412660153565414</v>
      </c>
      <c r="R35" s="836">
        <f>IF(ISNUMBER(INDEX(Database!$L$6:$L$197, MATCH($B35&amp;"% GDP", Database!$AD$6:$AD$197, 0))), INDEX(Database!$L$6:$L$197, MATCH($B35&amp;"% GDP", Database!$AD$6:$AD$197, 0)), "")</f>
        <v>13.684981848511372</v>
      </c>
      <c r="S35" s="836"/>
      <c r="T35" s="835">
        <f>IF(ISNUMBER(INDEX(Database!$P$6:$P$197, MATCH($B35&amp;"% GDP", Database!$AD$6:$AD$197, 0))), INDEX(Database!$P$6:$P$197, MATCH($B35&amp;"% GDP", Database!$AD$6:$AD$197, 0)), "")</f>
        <v>15.633846892182691</v>
      </c>
      <c r="U35" s="836">
        <f>IF(ISNUMBER(INDEX(Database!$Q$6:$Q$197, MATCH($B35&amp;"% GDP", Database!$AD$6:$AD$197, 0))), INDEX(Database!$Q$6:$Q$197, MATCH($B35&amp;"% GDP", Database!$AD$6:$AD$197, 0)), "")</f>
        <v>12.105285073024488</v>
      </c>
      <c r="V35" s="836"/>
      <c r="W35" s="836">
        <f>IF(ISNUMBER(INDEX(Database!$U$6:$U$197, MATCH($B35&amp;"% GDP", Database!$AD$6:$AD$197, 0))), INDEX(Database!$U$6:$U$197, MATCH($B35&amp;"% GDP", Database!$AD$6:$AD$197, 0)), "")</f>
        <v>3.528561819158202</v>
      </c>
      <c r="X35" s="836" t="str">
        <f>IF(ISNUMBER(INDEX(Database!$W$6:$W$197, MATCH($B35&amp;"% GDP", Database!$AD$6:$AD$197, 0))), INDEX(Database!$W$6:$W$197, MATCH($B35&amp;"% GDP", Database!$AD$6:$AD$197, 0)), "")</f>
        <v/>
      </c>
      <c r="AB35" s="563"/>
    </row>
    <row r="36" spans="2:28">
      <c r="B36" s="7" t="s">
        <v>1013</v>
      </c>
      <c r="C36" s="839">
        <v>1.0538958378068388</v>
      </c>
      <c r="D36" s="833">
        <v>0.25786813052720525</v>
      </c>
      <c r="E36" s="833">
        <v>0.79602770727963357</v>
      </c>
      <c r="F36" s="833" t="s">
        <v>452</v>
      </c>
      <c r="G36" s="832"/>
      <c r="H36" s="839">
        <v>1.3005523104850352</v>
      </c>
      <c r="I36" s="833">
        <v>0.96420257501476747</v>
      </c>
      <c r="J36" s="837"/>
      <c r="K36" s="833">
        <v>0.3363497354702677</v>
      </c>
      <c r="L36" s="833" t="s">
        <v>452</v>
      </c>
      <c r="M36" s="817"/>
      <c r="N36" s="817"/>
      <c r="O36" s="839">
        <v>3.5620118825577607</v>
      </c>
      <c r="P36" s="833">
        <v>0.87155609892370745</v>
      </c>
      <c r="Q36" s="833">
        <v>2.6904557836340532</v>
      </c>
      <c r="R36" s="833" t="s">
        <v>452</v>
      </c>
      <c r="S36" s="832"/>
      <c r="T36" s="839">
        <v>4.3956742380500025</v>
      </c>
      <c r="U36" s="833">
        <v>3.2588619351060366</v>
      </c>
      <c r="V36" s="837"/>
      <c r="W36" s="833">
        <v>1.1368123029439661</v>
      </c>
      <c r="X36" s="833" t="s">
        <v>452</v>
      </c>
      <c r="AB36" s="718"/>
    </row>
    <row r="37" spans="2:28">
      <c r="B37" s="7" t="s">
        <v>20</v>
      </c>
      <c r="C37" s="831">
        <f>IF(ISNUMBER(INDEX(Database!$G$6:$G$197, MATCH($B37&amp;"USD bn", Database!$AD$6:$AD$197, 0))), INDEX(Database!$G$6:$G$197, MATCH($B37&amp;"USD bn", Database!$AD$6:$AD$197, 0)), "")</f>
        <v>12.896485010704863</v>
      </c>
      <c r="D37" s="832">
        <f>IF(ISNUMBER(INDEX(Database!$H$6:$H$197, MATCH($B37&amp;"USD bn", Database!$AD$6:$AD$197, 0))), INDEX(Database!$H$6:$H$197, MATCH($B37&amp;"USD bn", Database!$AD$6:$AD$197, 0)), "")</f>
        <v>4.6792556233530913</v>
      </c>
      <c r="E37" s="832">
        <f>IF(ISNUMBER(INDEX(Database!$J$6:$J$197, MATCH($B37&amp;"USD bn", Database!$AD$6:$AD$197, 0))), INDEX(Database!$J$6:$J$197, MATCH($B37&amp;"USD bn", Database!$AD$6:$AD$197, 0)), "")</f>
        <v>8.2172293873517699</v>
      </c>
      <c r="F37" s="833">
        <f>IF(ISNUMBER(INDEX(Database!$L$6:$L$197, MATCH($B37&amp;"USD bn", Database!$AD$6:$AD$197, 0))), INDEX(Database!$L$6:$L$197, MATCH($B37&amp;"USD bn", Database!$AD$6:$AD$197, 0)), "")</f>
        <v>0.57064092967720625</v>
      </c>
      <c r="G37" s="832"/>
      <c r="H37" s="831">
        <f>IF(ISNUMBER(INDEX(Database!$P$6:$P$197, MATCH($B37&amp;"USD bn", Database!$AD$6:$AD$197, 0))), INDEX(Database!$P$6:$P$197, MATCH($B37&amp;"USD bn", Database!$AD$6:$AD$197, 0)), "")</f>
        <v>19.858304352766776</v>
      </c>
      <c r="I37" s="837">
        <f>IF(ISNUMBER(INDEX(Database!$Q$6:$Q$197, MATCH($B37&amp;"USD bn", Database!$AD$6:$AD$197, 0))), INDEX(Database!$Q$6:$Q$197, MATCH($B37&amp;"USD bn", Database!$AD$6:$AD$197, 0)), "")</f>
        <v>1.3695382312252951</v>
      </c>
      <c r="J37" s="837"/>
      <c r="K37" s="837">
        <f>IF(ISNUMBER(INDEX(Database!$U$6:$U$197, MATCH($B37&amp;"USD bn", Database!$AD$6:$AD$197, 0))), INDEX(Database!$U$6:$U$197, MATCH($B37&amp;"USD bn", Database!$AD$6:$AD$197, 0)), "")</f>
        <v>13.923638684123832</v>
      </c>
      <c r="L37" s="837">
        <f>IF(ISNUMBER(INDEX(Database!$W$6:$W$197, MATCH($B37&amp;"USD bn", Database!$AD$6:$AD$197, 0))), INDEX(Database!$W$6:$W$197, MATCH($B37&amp;"USD bn", Database!$AD$6:$AD$197, 0)), "")</f>
        <v>4.56512743741765</v>
      </c>
      <c r="M37" s="817"/>
      <c r="N37" s="817"/>
      <c r="O37" s="835">
        <f>IF(ISNUMBER(INDEX(Database!$G$6:$G$197, MATCH($B37&amp;"% GDP", Database!$AD$6:$AD$197, 0))), INDEX(Database!$G$6:$G$197, MATCH($B37&amp;"% GDP", Database!$AD$6:$AD$197, 0)), "")</f>
        <v>4.7843243517875598</v>
      </c>
      <c r="P37" s="836">
        <f>IF(ISNUMBER(INDEX(Database!$H$6:$H$197, MATCH($B37&amp;"% GDP", Database!$AD$6:$AD$197, 0))), INDEX(Database!$H$6:$H$197, MATCH($B37&amp;"% GDP", Database!$AD$6:$AD$197, 0)), "")</f>
        <v>1.7359052957813266</v>
      </c>
      <c r="Q37" s="836">
        <f>IF(ISNUMBER(INDEX(Database!$J$6:$J$197, MATCH($B37&amp;"% GDP", Database!$AD$6:$AD$197, 0))), INDEX(Database!$J$6:$J$197, MATCH($B37&amp;"% GDP", Database!$AD$6:$AD$197, 0)), "")</f>
        <v>3.0484190560062325</v>
      </c>
      <c r="R37" s="836">
        <f>IF(ISNUMBER(INDEX(Database!$L$6:$L$197, MATCH($B37&amp;"% GDP", Database!$AD$6:$AD$197, 0))), INDEX(Database!$L$6:$L$197, MATCH($B37&amp;"% GDP", Database!$AD$6:$AD$197, 0)), "")</f>
        <v>0.21169576777821061</v>
      </c>
      <c r="S37" s="836"/>
      <c r="T37" s="835">
        <f>IF(ISNUMBER(INDEX(Database!$P$6:$P$197, MATCH($B37&amp;"% GDP", Database!$AD$6:$AD$197, 0))), INDEX(Database!$P$6:$P$197, MATCH($B37&amp;"% GDP", Database!$AD$6:$AD$197, 0)), "")</f>
        <v>7.3670127186817282</v>
      </c>
      <c r="U37" s="836">
        <f>IF(ISNUMBER(INDEX(Database!$Q$6:$Q$197, MATCH($B37&amp;"% GDP", Database!$AD$6:$AD$197, 0))), INDEX(Database!$Q$6:$Q$197, MATCH($B37&amp;"% GDP", Database!$AD$6:$AD$197, 0)), "")</f>
        <v>0.50806984266770538</v>
      </c>
      <c r="V37" s="836"/>
      <c r="W37" s="836">
        <f>IF(ISNUMBER(INDEX(Database!$U$6:$U$197, MATCH($B37&amp;"% GDP", Database!$AD$6:$AD$197, 0))), INDEX(Database!$U$6:$U$197, MATCH($B37&amp;"% GDP", Database!$AD$6:$AD$197, 0)), "")</f>
        <v>5.1653767337883378</v>
      </c>
      <c r="X37" s="836">
        <f>IF(ISNUMBER(INDEX(Database!$W$6:$W$197, MATCH($B37&amp;"% GDP", Database!$AD$6:$AD$197, 0))), INDEX(Database!$W$6:$W$197, MATCH($B37&amp;"% GDP", Database!$AD$6:$AD$197, 0)), "")</f>
        <v>1.6935661422256849</v>
      </c>
      <c r="AB37" s="563"/>
    </row>
    <row r="38" spans="2:28">
      <c r="B38" s="7" t="s">
        <v>1014</v>
      </c>
      <c r="C38" s="839">
        <v>11.037603911309876</v>
      </c>
      <c r="D38" s="833">
        <v>0.32784962112801608</v>
      </c>
      <c r="E38" s="833">
        <v>10.709754290181859</v>
      </c>
      <c r="F38" s="833">
        <v>1.3113984845120643</v>
      </c>
      <c r="G38" s="832"/>
      <c r="H38" s="839">
        <v>2.5790836862070599</v>
      </c>
      <c r="I38" s="833" t="s">
        <v>452</v>
      </c>
      <c r="J38" s="837"/>
      <c r="K38" s="833">
        <v>2.5790836862070599</v>
      </c>
      <c r="L38" s="833" t="s">
        <v>452</v>
      </c>
      <c r="M38" s="817"/>
      <c r="N38" s="817"/>
      <c r="O38" s="839">
        <v>6.0865174507156548</v>
      </c>
      <c r="P38" s="833">
        <v>0.18078764705096004</v>
      </c>
      <c r="Q38" s="833">
        <v>5.9057298036646948</v>
      </c>
      <c r="R38" s="833">
        <v>0.72315058820384015</v>
      </c>
      <c r="S38" s="832"/>
      <c r="T38" s="839">
        <v>1.4221961568008856</v>
      </c>
      <c r="U38" s="833" t="s">
        <v>452</v>
      </c>
      <c r="V38" s="837"/>
      <c r="W38" s="833">
        <v>1.4221961568008856</v>
      </c>
      <c r="X38" s="833" t="s">
        <v>452</v>
      </c>
      <c r="AB38" s="718"/>
    </row>
    <row r="39" spans="2:28">
      <c r="B39" s="7" t="s">
        <v>39</v>
      </c>
      <c r="C39" s="839">
        <v>37.008431486129879</v>
      </c>
      <c r="D39" s="833">
        <v>1.2872497908219089</v>
      </c>
      <c r="E39" s="833">
        <v>35.721181695307976</v>
      </c>
      <c r="F39" s="833" t="s">
        <v>452</v>
      </c>
      <c r="G39" s="832"/>
      <c r="H39" s="839">
        <v>2.5744995816438179</v>
      </c>
      <c r="I39" s="833">
        <v>0</v>
      </c>
      <c r="J39" s="837"/>
      <c r="K39" s="833">
        <v>2.5744995816438179</v>
      </c>
      <c r="L39" s="833" t="s">
        <v>452</v>
      </c>
      <c r="M39" s="817"/>
      <c r="N39" s="817"/>
      <c r="O39" s="839">
        <v>10.65380819978763</v>
      </c>
      <c r="P39" s="833">
        <v>0.37056724173174366</v>
      </c>
      <c r="Q39" s="833">
        <v>10.283240958055886</v>
      </c>
      <c r="R39" s="833" t="s">
        <v>452</v>
      </c>
      <c r="S39" s="832"/>
      <c r="T39" s="839">
        <v>0.74113448346348731</v>
      </c>
      <c r="U39" s="833">
        <v>0</v>
      </c>
      <c r="V39" s="837"/>
      <c r="W39" s="833">
        <v>0.74113448346348731</v>
      </c>
      <c r="X39" s="833" t="s">
        <v>452</v>
      </c>
      <c r="AB39" s="718"/>
    </row>
    <row r="40" spans="2:28">
      <c r="B40" s="7" t="s">
        <v>1015</v>
      </c>
      <c r="C40" s="839">
        <v>0.87177135717816956</v>
      </c>
      <c r="D40" s="833">
        <v>2.1067807798472431E-2</v>
      </c>
      <c r="E40" s="833">
        <v>0.85070354937969705</v>
      </c>
      <c r="F40" s="833">
        <v>0</v>
      </c>
      <c r="G40" s="832"/>
      <c r="H40" s="839">
        <v>0.36323806549090398</v>
      </c>
      <c r="I40" s="833">
        <v>0</v>
      </c>
      <c r="J40" s="837"/>
      <c r="K40" s="833">
        <v>0.36323806549090398</v>
      </c>
      <c r="L40" s="833">
        <v>0</v>
      </c>
      <c r="M40" s="817"/>
      <c r="N40" s="817"/>
      <c r="O40" s="839">
        <v>4.2458232125593174</v>
      </c>
      <c r="P40" s="833">
        <v>0.10260739430351684</v>
      </c>
      <c r="Q40" s="833">
        <v>4.1432158182558005</v>
      </c>
      <c r="R40" s="833">
        <v>0</v>
      </c>
      <c r="S40" s="832"/>
      <c r="T40" s="839">
        <v>1.7690930052330491</v>
      </c>
      <c r="U40" s="833">
        <v>0</v>
      </c>
      <c r="V40" s="837"/>
      <c r="W40" s="833">
        <v>1.7690930052330491</v>
      </c>
      <c r="X40" s="833">
        <v>0</v>
      </c>
      <c r="AB40" s="718"/>
    </row>
    <row r="41" spans="2:28">
      <c r="B41" s="7" t="s">
        <v>1016</v>
      </c>
      <c r="C41" s="839">
        <v>22.983898590468293</v>
      </c>
      <c r="D41" s="833">
        <v>2.2423315698017849</v>
      </c>
      <c r="E41" s="833">
        <v>20.741567020666508</v>
      </c>
      <c r="F41" s="833">
        <v>2.8029144622522311</v>
      </c>
      <c r="G41" s="832"/>
      <c r="H41" s="839">
        <v>8.9693262792071398</v>
      </c>
      <c r="I41" s="833">
        <v>4.4846631396035699</v>
      </c>
      <c r="J41" s="837"/>
      <c r="K41" s="833">
        <v>4.4846631396035699</v>
      </c>
      <c r="L41" s="833" t="s">
        <v>452</v>
      </c>
      <c r="M41" s="817"/>
      <c r="N41" s="817"/>
      <c r="O41" s="839">
        <v>6.1192843906358192</v>
      </c>
      <c r="P41" s="833">
        <v>0.5970033551839824</v>
      </c>
      <c r="Q41" s="833">
        <v>5.5222810354518366</v>
      </c>
      <c r="R41" s="833">
        <v>0.74625419397997794</v>
      </c>
      <c r="S41" s="832"/>
      <c r="T41" s="839">
        <v>2.3880134207359296</v>
      </c>
      <c r="U41" s="833">
        <v>1.1940067103679648</v>
      </c>
      <c r="V41" s="837"/>
      <c r="W41" s="833">
        <v>1.1940067103679648</v>
      </c>
      <c r="X41" s="833" t="s">
        <v>452</v>
      </c>
      <c r="AB41" s="718"/>
    </row>
    <row r="42" spans="2:28" s="514" customFormat="1">
      <c r="B42" s="872" t="s">
        <v>1017</v>
      </c>
      <c r="C42" s="856">
        <v>25.6</v>
      </c>
      <c r="D42" s="855">
        <v>4</v>
      </c>
      <c r="E42" s="855">
        <v>21.6</v>
      </c>
      <c r="F42" s="855">
        <v>2.1</v>
      </c>
      <c r="G42" s="866"/>
      <c r="H42" s="856">
        <v>11</v>
      </c>
      <c r="I42" s="855">
        <v>0.9</v>
      </c>
      <c r="J42" s="859"/>
      <c r="K42" s="855">
        <v>10.1</v>
      </c>
      <c r="L42" s="855" t="s">
        <v>452</v>
      </c>
      <c r="M42" s="860"/>
      <c r="N42" s="860"/>
      <c r="O42" s="856">
        <v>6.8</v>
      </c>
      <c r="P42" s="855">
        <v>1.1000000000000001</v>
      </c>
      <c r="Q42" s="855">
        <v>5.8</v>
      </c>
      <c r="R42" s="855">
        <v>0.5</v>
      </c>
      <c r="S42" s="866"/>
      <c r="T42" s="856">
        <v>2.9</v>
      </c>
      <c r="U42" s="855">
        <v>0.3</v>
      </c>
      <c r="V42" s="859"/>
      <c r="W42" s="855">
        <v>2.7</v>
      </c>
      <c r="X42" s="855" t="s">
        <v>452</v>
      </c>
      <c r="AB42" s="873"/>
    </row>
    <row r="43" spans="2:28" s="514" customFormat="1">
      <c r="B43" s="872" t="s">
        <v>1018</v>
      </c>
      <c r="C43" s="856">
        <v>2.3484922014</v>
      </c>
      <c r="D43" s="855">
        <v>0.20480000000000001</v>
      </c>
      <c r="E43" s="855">
        <v>2.1436922013999995</v>
      </c>
      <c r="F43" s="855" t="s">
        <v>452</v>
      </c>
      <c r="G43" s="866"/>
      <c r="H43" s="856">
        <v>0.81499999999999995</v>
      </c>
      <c r="I43" s="855">
        <v>0</v>
      </c>
      <c r="J43" s="859"/>
      <c r="K43" s="855">
        <v>0.81499999999999995</v>
      </c>
      <c r="L43" s="855"/>
      <c r="M43" s="860"/>
      <c r="N43" s="860"/>
      <c r="O43" s="856">
        <v>8.3915390415377136</v>
      </c>
      <c r="P43" s="855">
        <v>0.73178322443754651</v>
      </c>
      <c r="Q43" s="855">
        <v>7.6597558171001667</v>
      </c>
      <c r="R43" s="855" t="s">
        <v>452</v>
      </c>
      <c r="S43" s="866"/>
      <c r="T43" s="856">
        <v>2.9</v>
      </c>
      <c r="U43" s="855">
        <v>0</v>
      </c>
      <c r="V43" s="859"/>
      <c r="W43" s="855">
        <v>2.9</v>
      </c>
      <c r="X43" s="855"/>
      <c r="AB43" s="873"/>
    </row>
    <row r="44" spans="2:28">
      <c r="B44" s="7" t="s">
        <v>1019</v>
      </c>
      <c r="C44" s="839">
        <v>2.5450463317250258</v>
      </c>
      <c r="D44" s="833">
        <v>0.56058289245044624</v>
      </c>
      <c r="E44" s="833">
        <v>1.9844634392745795</v>
      </c>
      <c r="F44" s="833">
        <v>2.4553530689329541</v>
      </c>
      <c r="G44" s="832"/>
      <c r="H44" s="839">
        <v>1.9284051500295349</v>
      </c>
      <c r="I44" s="833">
        <v>0.35877305116828556</v>
      </c>
      <c r="J44" s="837"/>
      <c r="K44" s="833">
        <v>1.5696320988612493</v>
      </c>
      <c r="L44" s="833" t="s">
        <v>452</v>
      </c>
      <c r="M44" s="817"/>
      <c r="N44" s="817"/>
      <c r="O44" s="839">
        <v>5.0073723247600821</v>
      </c>
      <c r="P44" s="833">
        <v>1.1029454459823971</v>
      </c>
      <c r="Q44" s="833">
        <v>3.9044268787776857</v>
      </c>
      <c r="R44" s="833">
        <v>4.8309010534028989</v>
      </c>
      <c r="S44" s="832"/>
      <c r="T44" s="839">
        <v>3.7941323341794457</v>
      </c>
      <c r="U44" s="833">
        <v>0.70588508542873418</v>
      </c>
      <c r="V44" s="837"/>
      <c r="W44" s="833">
        <v>3.0882472487507115</v>
      </c>
      <c r="X44" s="833" t="s">
        <v>452</v>
      </c>
      <c r="AB44" s="718"/>
    </row>
    <row r="45" spans="2:28">
      <c r="B45" s="872" t="s">
        <v>1020</v>
      </c>
      <c r="C45" s="839">
        <v>3.3877794183228405</v>
      </c>
      <c r="D45" s="833">
        <v>0.21856641408534455</v>
      </c>
      <c r="E45" s="833">
        <v>3.1692130042374957</v>
      </c>
      <c r="F45" s="855">
        <v>4.9723859204415888</v>
      </c>
      <c r="G45" s="832"/>
      <c r="H45" s="839">
        <v>3.9341954535362018</v>
      </c>
      <c r="I45" s="833" t="s">
        <v>452</v>
      </c>
      <c r="J45" s="837"/>
      <c r="K45" s="833">
        <v>2.7320801760668068</v>
      </c>
      <c r="L45" s="833">
        <v>1.2021152774693951</v>
      </c>
      <c r="M45" s="817"/>
      <c r="N45" s="817"/>
      <c r="O45" s="839">
        <v>5.2753421898884847</v>
      </c>
      <c r="P45" s="833">
        <v>0.3403446574121603</v>
      </c>
      <c r="Q45" s="833">
        <v>4.9349975324763244</v>
      </c>
      <c r="R45" s="855">
        <v>7.7428409561266465</v>
      </c>
      <c r="S45" s="832"/>
      <c r="T45" s="839">
        <v>6.1262038334188862</v>
      </c>
      <c r="U45" s="833" t="s">
        <v>452</v>
      </c>
      <c r="V45" s="837"/>
      <c r="W45" s="833">
        <v>4.254308217652004</v>
      </c>
      <c r="X45" s="833">
        <v>1.8718956157668818</v>
      </c>
      <c r="AB45" s="718"/>
    </row>
    <row r="46" spans="2:28">
      <c r="B46" s="7" t="s">
        <v>1021</v>
      </c>
      <c r="C46" s="839">
        <v>6.5902161892806923</v>
      </c>
      <c r="D46" s="833">
        <v>5.0115712466012867E-2</v>
      </c>
      <c r="E46" s="833">
        <v>6.5401004768146791</v>
      </c>
      <c r="F46" s="833" t="s">
        <v>452</v>
      </c>
      <c r="G46" s="832"/>
      <c r="H46" s="839" t="s">
        <v>452</v>
      </c>
      <c r="I46" s="833" t="s">
        <v>452</v>
      </c>
      <c r="J46" s="837"/>
      <c r="K46" s="833" t="s">
        <v>452</v>
      </c>
      <c r="L46" s="833" t="s">
        <v>452</v>
      </c>
      <c r="M46" s="817"/>
      <c r="N46" s="817"/>
      <c r="O46" s="839">
        <v>16.978252746637391</v>
      </c>
      <c r="P46" s="833">
        <v>0.12911218818735659</v>
      </c>
      <c r="Q46" s="833">
        <v>16.849140558450035</v>
      </c>
      <c r="R46" s="833" t="s">
        <v>452</v>
      </c>
      <c r="S46" s="832"/>
      <c r="T46" s="839" t="s">
        <v>452</v>
      </c>
      <c r="U46" s="833" t="s">
        <v>452</v>
      </c>
      <c r="V46" s="837"/>
      <c r="W46" s="833" t="s">
        <v>452</v>
      </c>
      <c r="X46" s="833" t="s">
        <v>452</v>
      </c>
      <c r="AB46" s="718"/>
    </row>
    <row r="47" spans="2:28">
      <c r="B47" s="7" t="s">
        <v>1022</v>
      </c>
      <c r="C47" s="839">
        <v>0.70633444448756222</v>
      </c>
      <c r="D47" s="833">
        <v>0.14575155203711601</v>
      </c>
      <c r="E47" s="833">
        <v>0.56058289245044624</v>
      </c>
      <c r="F47" s="833">
        <v>0.22423315698017848</v>
      </c>
      <c r="G47" s="832"/>
      <c r="H47" s="839">
        <v>1.5808437567102582</v>
      </c>
      <c r="I47" s="833">
        <v>0.70633444448756222</v>
      </c>
      <c r="J47" s="837"/>
      <c r="K47" s="833">
        <v>0.87450931222269612</v>
      </c>
      <c r="L47" s="833" t="s">
        <v>452</v>
      </c>
      <c r="M47" s="817"/>
      <c r="N47" s="817"/>
      <c r="O47" s="839">
        <v>5.1116607835578804</v>
      </c>
      <c r="P47" s="833">
        <v>1.0547871458135309</v>
      </c>
      <c r="Q47" s="833">
        <v>4.0568736377443502</v>
      </c>
      <c r="R47" s="833">
        <v>1.6227494550977402</v>
      </c>
      <c r="S47" s="832"/>
      <c r="T47" s="839">
        <v>11.440383658439067</v>
      </c>
      <c r="U47" s="833">
        <v>5.1116607835578804</v>
      </c>
      <c r="V47" s="837"/>
      <c r="W47" s="833">
        <v>6.3287228748811861</v>
      </c>
      <c r="X47" s="833" t="s">
        <v>452</v>
      </c>
      <c r="AB47" s="718"/>
    </row>
    <row r="48" spans="2:28">
      <c r="B48" s="7" t="s">
        <v>553</v>
      </c>
      <c r="C48" s="831">
        <f>IF(ISNUMBER(INDEX(Database!$G$6:$G$197, MATCH($B48&amp;"USD bn", Database!$AD$6:$AD$197, 0))), INDEX(Database!$G$6:$G$197, MATCH($B48&amp;"USD bn", Database!$AD$6:$AD$197, 0)), "")</f>
        <v>40.366333649903929</v>
      </c>
      <c r="D48" s="832">
        <f>IF(ISNUMBER(INDEX(Database!$H$6:$H$197, MATCH($B48&amp;"USD bn", Database!$AD$6:$AD$197, 0))), INDEX(Database!$H$6:$H$197, MATCH($B48&amp;"USD bn", Database!$AD$6:$AD$197, 0)), "")</f>
        <v>3.3151095268037039</v>
      </c>
      <c r="E48" s="832">
        <f>IF(ISNUMBER(INDEX(Database!$J$6:$J$197, MATCH($B48&amp;"USD bn", Database!$AD$6:$AD$197, 0))), INDEX(Database!$J$6:$J$197, MATCH($B48&amp;"USD bn", Database!$AD$6:$AD$197, 0)), "")</f>
        <v>37.051224123100226</v>
      </c>
      <c r="F48" s="833" t="str">
        <f>IF(ISNUMBER(INDEX(Database!$L$6:$L$197, MATCH($B48&amp;"USD bn", Database!$AD$6:$AD$197, 0))), INDEX(Database!$L$6:$L$197, MATCH($B48&amp;"USD bn", Database!$AD$6:$AD$197, 0)), "")</f>
        <v/>
      </c>
      <c r="G48" s="832"/>
      <c r="H48" s="831">
        <f>IF(ISNUMBER(INDEX(Database!$P$6:$P$197, MATCH($B48&amp;"USD bn", Database!$AD$6:$AD$197, 0))), INDEX(Database!$P$6:$P$197, MATCH($B48&amp;"USD bn", Database!$AD$6:$AD$197, 0)), "")</f>
        <v>4.0951352978163404</v>
      </c>
      <c r="I48" s="837">
        <f>IF(ISNUMBER(INDEX(Database!$Q$6:$Q$197, MATCH($B48&amp;"USD bn", Database!$AD$6:$AD$197, 0))), INDEX(Database!$Q$6:$Q$197, MATCH($B48&amp;"USD bn", Database!$AD$6:$AD$197, 0)), "")</f>
        <v>2.2100730178691359</v>
      </c>
      <c r="J48" s="837"/>
      <c r="K48" s="837">
        <f>IF(ISNUMBER(INDEX(Database!$U$6:$U$197, MATCH($B48&amp;"USD bn", Database!$AD$6:$AD$197, 0))), INDEX(Database!$U$6:$U$197, MATCH($B48&amp;"USD bn", Database!$AD$6:$AD$197, 0)), "")</f>
        <v>1.8850622799472043</v>
      </c>
      <c r="L48" s="837" t="str">
        <f>IF(ISNUMBER(INDEX(Database!$W$6:$W$197, MATCH($B48&amp;"USD bn", Database!$AD$6:$AD$197, 0))), INDEX(Database!$W$6:$W$197, MATCH($B48&amp;"USD bn", Database!$AD$6:$AD$197, 0)), "")</f>
        <v/>
      </c>
      <c r="M48" s="817"/>
      <c r="N48" s="817"/>
      <c r="O48" s="835">
        <f>IF(ISNUMBER(INDEX(Database!$G$6:$G$197, MATCH($B48&amp;"% GDP", Database!$AD$6:$AD$197, 0))), INDEX(Database!$G$6:$G$197, MATCH($B48&amp;"% GDP", Database!$AD$6:$AD$197, 0)), "")</f>
        <v>19.27864943902545</v>
      </c>
      <c r="P48" s="836">
        <f>IF(ISNUMBER(INDEX(Database!$H$6:$H$197, MATCH($B48&amp;"% GDP", Database!$AD$6:$AD$197, 0))), INDEX(Database!$H$6:$H$197, MATCH($B48&amp;"% GDP", Database!$AD$6:$AD$197, 0)), "")</f>
        <v>1.5832707268764863</v>
      </c>
      <c r="Q48" s="836">
        <f>IF(ISNUMBER(INDEX(Database!$J$6:$J$197, MATCH($B48&amp;"% GDP", Database!$AD$6:$AD$197, 0))), INDEX(Database!$J$6:$J$197, MATCH($B48&amp;"% GDP", Database!$AD$6:$AD$197, 0)), "")</f>
        <v>17.695378712148965</v>
      </c>
      <c r="R48" s="836" t="str">
        <f>IF(ISNUMBER(INDEX(Database!$L$6:$L$197, MATCH($B48&amp;"% GDP", Database!$AD$6:$AD$197, 0))), INDEX(Database!$L$6:$L$197, MATCH($B48&amp;"% GDP", Database!$AD$6:$AD$197, 0)), "")</f>
        <v/>
      </c>
      <c r="S48" s="836"/>
      <c r="T48" s="835">
        <f>IF(ISNUMBER(INDEX(Database!$P$6:$P$197, MATCH($B48&amp;"% GDP", Database!$AD$6:$AD$197, 0))), INDEX(Database!$P$6:$P$197, MATCH($B48&amp;"% GDP", Database!$AD$6:$AD$197, 0)), "")</f>
        <v>1.9558050155533067</v>
      </c>
      <c r="U48" s="836">
        <f>IF(ISNUMBER(INDEX(Database!$Q$6:$Q$197, MATCH($B48&amp;"% GDP", Database!$AD$6:$AD$197, 0))), INDEX(Database!$Q$6:$Q$197, MATCH($B48&amp;"% GDP", Database!$AD$6:$AD$197, 0)), "")</f>
        <v>1.0555138179176575</v>
      </c>
      <c r="V48" s="836"/>
      <c r="W48" s="836">
        <f>IF(ISNUMBER(INDEX(Database!$U$6:$U$197, MATCH($B48&amp;"% GDP", Database!$AD$6:$AD$197, 0))), INDEX(Database!$U$6:$U$197, MATCH($B48&amp;"% GDP", Database!$AD$6:$AD$197, 0)), "")</f>
        <v>0.90029119763564913</v>
      </c>
      <c r="X48" s="836" t="str">
        <f>IF(ISNUMBER(INDEX(Database!$W$6:$W$197, MATCH($B48&amp;"% GDP", Database!$AD$6:$AD$197, 0))), INDEX(Database!$W$6:$W$197, MATCH($B48&amp;"% GDP", Database!$AD$6:$AD$197, 0)), "")</f>
        <v/>
      </c>
      <c r="AB48" s="563"/>
    </row>
    <row r="49" spans="2:28">
      <c r="B49" s="7" t="s">
        <v>36</v>
      </c>
      <c r="C49" s="831">
        <f>IF(ISNUMBER(INDEX(Database!$G$6:$G$197, MATCH($B49&amp;"USD bn", Database!$AD$6:$AD$197, 0))), INDEX(Database!$G$6:$G$197, MATCH($B49&amp;"USD bn", Database!$AD$6:$AD$197, 0)), "")</f>
        <v>23.917160810691193</v>
      </c>
      <c r="D49" s="832">
        <f>IF(ISNUMBER(INDEX(Database!$H$6:$H$197, MATCH($B49&amp;"USD bn", Database!$AD$6:$AD$197, 0))), INDEX(Database!$H$6:$H$197, MATCH($B49&amp;"USD bn", Database!$AD$6:$AD$197, 0)), "")</f>
        <v>2.6232409947782966</v>
      </c>
      <c r="E49" s="832">
        <f>IF(ISNUMBER(INDEX(Database!$J$6:$J$197, MATCH($B49&amp;"USD bn", Database!$AD$6:$AD$197, 0))), INDEX(Database!$J$6:$J$197, MATCH($B49&amp;"USD bn", Database!$AD$6:$AD$197, 0)), "")</f>
        <v>21.293919815912897</v>
      </c>
      <c r="F49" s="833" t="str">
        <f>IF(ISNUMBER(INDEX(Database!$L$6:$L$197, MATCH($B49&amp;"USD bn", Database!$AD$6:$AD$197, 0))), INDEX(Database!$L$6:$L$197, MATCH($B49&amp;"USD bn", Database!$AD$6:$AD$197, 0)), "")</f>
        <v/>
      </c>
      <c r="G49" s="832"/>
      <c r="H49" s="831">
        <f>IF(ISNUMBER(INDEX(Database!$P$6:$P$197, MATCH($B49&amp;"USD bn", Database!$AD$6:$AD$197, 0))), INDEX(Database!$P$6:$P$197, MATCH($B49&amp;"USD bn", Database!$AD$6:$AD$197, 0)), "")</f>
        <v>14.603062217895378</v>
      </c>
      <c r="I49" s="837">
        <f>IF(ISNUMBER(INDEX(Database!$Q$6:$Q$197, MATCH($B49&amp;"USD bn", Database!$AD$6:$AD$197, 0))), INDEX(Database!$Q$6:$Q$197, MATCH($B49&amp;"USD bn", Database!$AD$6:$AD$197, 0)), "")</f>
        <v>6.3191432870165452</v>
      </c>
      <c r="J49" s="837"/>
      <c r="K49" s="837">
        <f>IF(ISNUMBER(INDEX(Database!$U$6:$U$197, MATCH($B49&amp;"USD bn", Database!$AD$6:$AD$197, 0))), INDEX(Database!$U$6:$U$197, MATCH($B49&amp;"USD bn", Database!$AD$6:$AD$197, 0)), "")</f>
        <v>8.2839189308788317</v>
      </c>
      <c r="L49" s="837" t="str">
        <f>IF(ISNUMBER(INDEX(Database!$W$6:$W$197, MATCH($B49&amp;"USD bn", Database!$AD$6:$AD$197, 0))), INDEX(Database!$W$6:$W$197, MATCH($B49&amp;"USD bn", Database!$AD$6:$AD$197, 0)), "")</f>
        <v/>
      </c>
      <c r="M49" s="817"/>
      <c r="N49" s="817"/>
      <c r="O49" s="835">
        <f>IF(ISNUMBER(INDEX(Database!$G$6:$G$197, MATCH($B49&amp;"% GDP", Database!$AD$6:$AD$197, 0))), INDEX(Database!$G$6:$G$197, MATCH($B49&amp;"% GDP", Database!$AD$6:$AD$197, 0)), "")</f>
        <v>7.4022943167997886</v>
      </c>
      <c r="P49" s="836">
        <f>IF(ISNUMBER(INDEX(Database!$H$6:$H$197, MATCH($B49&amp;"% GDP", Database!$AD$6:$AD$197, 0))), INDEX(Database!$H$6:$H$197, MATCH($B49&amp;"% GDP", Database!$AD$6:$AD$197, 0)), "")</f>
        <v>0.81188574433816507</v>
      </c>
      <c r="Q49" s="836">
        <f>IF(ISNUMBER(INDEX(Database!$J$6:$J$197, MATCH($B49&amp;"% GDP", Database!$AD$6:$AD$197, 0))), INDEX(Database!$J$6:$J$197, MATCH($B49&amp;"% GDP", Database!$AD$6:$AD$197, 0)), "")</f>
        <v>6.5904085724616239</v>
      </c>
      <c r="R49" s="836" t="str">
        <f>IF(ISNUMBER(INDEX(Database!$L$6:$L$197, MATCH($B49&amp;"% GDP", Database!$AD$6:$AD$197, 0))), INDEX(Database!$L$6:$L$197, MATCH($B49&amp;"% GDP", Database!$AD$6:$AD$197, 0)), "")</f>
        <v/>
      </c>
      <c r="S49" s="836"/>
      <c r="T49" s="835">
        <f>IF(ISNUMBER(INDEX(Database!$P$6:$P$197, MATCH($B49&amp;"% GDP", Database!$AD$6:$AD$197, 0))), INDEX(Database!$P$6:$P$197, MATCH($B49&amp;"% GDP", Database!$AD$6:$AD$197, 0)), "")</f>
        <v>4.5196068763764252</v>
      </c>
      <c r="U49" s="836">
        <f>IF(ISNUMBER(INDEX(Database!$Q$6:$Q$197, MATCH($B49&amp;"% GDP", Database!$AD$6:$AD$197, 0))), INDEX(Database!$Q$6:$Q$197, MATCH($B49&amp;"% GDP", Database!$AD$6:$AD$197, 0)), "")</f>
        <v>1.9557571574137986</v>
      </c>
      <c r="V49" s="836"/>
      <c r="W49" s="836">
        <f>IF(ISNUMBER(INDEX(Database!$U$6:$U$197, MATCH($B49&amp;"% GDP", Database!$AD$6:$AD$197, 0))), INDEX(Database!$U$6:$U$197, MATCH($B49&amp;"% GDP", Database!$AD$6:$AD$197, 0)), "")</f>
        <v>2.563849718962627</v>
      </c>
      <c r="X49" s="836" t="str">
        <f>IF(ISNUMBER(INDEX(Database!$W$6:$W$197, MATCH($B49&amp;"% GDP", Database!$AD$6:$AD$197, 0))), INDEX(Database!$W$6:$W$197, MATCH($B49&amp;"% GDP", Database!$AD$6:$AD$197, 0)), "")</f>
        <v/>
      </c>
      <c r="AB49" s="563"/>
    </row>
    <row r="50" spans="2:28">
      <c r="B50" s="7" t="s">
        <v>1023</v>
      </c>
      <c r="C50" s="839">
        <v>7.0633444448756215</v>
      </c>
      <c r="D50" s="833">
        <v>1.7938652558414279</v>
      </c>
      <c r="E50" s="833">
        <v>5.2694791890341932</v>
      </c>
      <c r="F50" s="833">
        <v>8.8572097007170498</v>
      </c>
      <c r="G50" s="832"/>
      <c r="H50" s="839">
        <v>8.969326279207138</v>
      </c>
      <c r="I50" s="833">
        <v>1.3453989418810708</v>
      </c>
      <c r="J50" s="837"/>
      <c r="K50" s="833">
        <v>7.6239273373260676</v>
      </c>
      <c r="L50" s="833" t="s">
        <v>452</v>
      </c>
      <c r="M50" s="817"/>
      <c r="N50" s="817"/>
      <c r="O50" s="839">
        <v>3.2740579303928747</v>
      </c>
      <c r="P50" s="833">
        <v>0.83150677597279377</v>
      </c>
      <c r="Q50" s="833">
        <v>2.4425511544200815</v>
      </c>
      <c r="R50" s="833">
        <v>4.1055647063656693</v>
      </c>
      <c r="S50" s="832"/>
      <c r="T50" s="839">
        <v>4.1575338798639683</v>
      </c>
      <c r="U50" s="833">
        <v>0.62363008197959524</v>
      </c>
      <c r="V50" s="837"/>
      <c r="W50" s="833">
        <v>3.5339037978843733</v>
      </c>
      <c r="X50" s="833" t="s">
        <v>452</v>
      </c>
      <c r="AB50" s="718"/>
    </row>
    <row r="51" spans="2:28">
      <c r="B51" s="7" t="s">
        <v>1024</v>
      </c>
      <c r="C51" s="839" t="s">
        <v>452</v>
      </c>
      <c r="D51" s="833" t="s">
        <v>452</v>
      </c>
      <c r="E51" s="833" t="s">
        <v>452</v>
      </c>
      <c r="F51" s="833" t="s">
        <v>452</v>
      </c>
      <c r="G51" s="832"/>
      <c r="H51" s="839" t="s">
        <v>452</v>
      </c>
      <c r="I51" s="833" t="s">
        <v>452</v>
      </c>
      <c r="J51" s="837"/>
      <c r="K51" s="833" t="s">
        <v>452</v>
      </c>
      <c r="L51" s="833" t="s">
        <v>452</v>
      </c>
      <c r="M51" s="817"/>
      <c r="N51" s="817"/>
      <c r="O51" s="839" t="s">
        <v>452</v>
      </c>
      <c r="P51" s="833" t="s">
        <v>452</v>
      </c>
      <c r="Q51" s="833" t="s">
        <v>452</v>
      </c>
      <c r="R51" s="833" t="s">
        <v>452</v>
      </c>
      <c r="S51" s="832"/>
      <c r="T51" s="839" t="s">
        <v>452</v>
      </c>
      <c r="U51" s="833" t="s">
        <v>452</v>
      </c>
      <c r="V51" s="837"/>
      <c r="W51" s="833" t="s">
        <v>452</v>
      </c>
      <c r="X51" s="833" t="s">
        <v>452</v>
      </c>
      <c r="AB51" s="718"/>
    </row>
    <row r="52" spans="2:28">
      <c r="B52" s="7" t="s">
        <v>31</v>
      </c>
      <c r="C52" s="831">
        <f>IF(ISNUMBER(INDEX(Database!$G$6:$G$197, MATCH($B52&amp;"USD bn", Database!$AD$6:$AD$197, 0))), INDEX(Database!$G$6:$G$197, MATCH($B52&amp;"USD bn", Database!$AD$6:$AD$197, 0)), "")</f>
        <v>62.546527888588585</v>
      </c>
      <c r="D52" s="832">
        <f>IF(ISNUMBER(INDEX(Database!$H$6:$H$197, MATCH($B52&amp;"USD bn", Database!$AD$6:$AD$197, 0))), INDEX(Database!$H$6:$H$197, MATCH($B52&amp;"USD bn", Database!$AD$6:$AD$197, 0)), "")</f>
        <v>13.480479938907852</v>
      </c>
      <c r="E52" s="832">
        <f>IF(ISNUMBER(INDEX(Database!$J$6:$J$197, MATCH($B52&amp;"USD bn", Database!$AD$6:$AD$197, 0))), INDEX(Database!$J$6:$J$197, MATCH($B52&amp;"USD bn", Database!$AD$6:$AD$197, 0)), "")</f>
        <v>49.06604794968073</v>
      </c>
      <c r="F52" s="833" t="str">
        <f>IF(ISNUMBER(INDEX(Database!$L$6:$L$197, MATCH($B52&amp;"USD bn", Database!$AD$6:$AD$197, 0))), INDEX(Database!$L$6:$L$197, MATCH($B52&amp;"USD bn", Database!$AD$6:$AD$197, 0)), "")</f>
        <v/>
      </c>
      <c r="G52" s="832"/>
      <c r="H52" s="831">
        <f>IF(ISNUMBER(INDEX(Database!$P$6:$P$197, MATCH($B52&amp;"USD bn", Database!$AD$6:$AD$197, 0))), INDEX(Database!$P$6:$P$197, MATCH($B52&amp;"USD bn", Database!$AD$6:$AD$197, 0)), "")</f>
        <v>15.94465369118133</v>
      </c>
      <c r="I52" s="837">
        <f>IF(ISNUMBER(INDEX(Database!$Q$6:$Q$197, MATCH($B52&amp;"USD bn", Database!$AD$6:$AD$197, 0))), INDEX(Database!$Q$6:$Q$197, MATCH($B52&amp;"USD bn", Database!$AD$6:$AD$197, 0)), "")</f>
        <v>15.94465369118133</v>
      </c>
      <c r="J52" s="837"/>
      <c r="K52" s="837" t="str">
        <f>IF(ISNUMBER(INDEX(Database!$U$6:$U$197, MATCH($B52&amp;"USD bn", Database!$AD$6:$AD$197, 0))), INDEX(Database!$U$6:$U$197, MATCH($B52&amp;"USD bn", Database!$AD$6:$AD$197, 0)), "")</f>
        <v/>
      </c>
      <c r="L52" s="837" t="str">
        <f>IF(ISNUMBER(INDEX(Database!$W$6:$W$197, MATCH($B52&amp;"USD bn", Database!$AD$6:$AD$197, 0))), INDEX(Database!$W$6:$W$197, MATCH($B52&amp;"USD bn", Database!$AD$6:$AD$197, 0)), "")</f>
        <v/>
      </c>
      <c r="M52" s="817"/>
      <c r="N52" s="817"/>
      <c r="O52" s="835">
        <f>IF(ISNUMBER(INDEX(Database!$G$6:$G$197, MATCH($B52&amp;"% GDP", Database!$AD$6:$AD$197, 0))), INDEX(Database!$G$6:$G$197, MATCH($B52&amp;"% GDP", Database!$AD$6:$AD$197, 0)), "")</f>
        <v>18.39709108521307</v>
      </c>
      <c r="P52" s="836">
        <f>IF(ISNUMBER(INDEX(Database!$H$6:$H$197, MATCH($B52&amp;"% GDP", Database!$AD$6:$AD$197, 0))), INDEX(Database!$H$6:$H$197, MATCH($B52&amp;"% GDP", Database!$AD$6:$AD$197, 0)), "")</f>
        <v>3.9650740925256436</v>
      </c>
      <c r="Q52" s="836">
        <f>IF(ISNUMBER(INDEX(Database!$J$6:$J$197, MATCH($B52&amp;"% GDP", Database!$AD$6:$AD$197, 0))), INDEX(Database!$J$6:$J$197, MATCH($B52&amp;"% GDP", Database!$AD$6:$AD$197, 0)), "")</f>
        <v>14.432016992687425</v>
      </c>
      <c r="R52" s="836" t="str">
        <f>IF(ISNUMBER(INDEX(Database!$L$6:$L$197, MATCH($B52&amp;"% GDP", Database!$AD$6:$AD$197, 0))), INDEX(Database!$L$6:$L$197, MATCH($B52&amp;"% GDP", Database!$AD$6:$AD$197, 0)), "")</f>
        <v/>
      </c>
      <c r="S52" s="836"/>
      <c r="T52" s="835">
        <f>IF(ISNUMBER(INDEX(Database!$P$6:$P$197, MATCH($B52&amp;"% GDP", Database!$AD$6:$AD$197, 0))), INDEX(Database!$P$6:$P$197, MATCH($B52&amp;"% GDP", Database!$AD$6:$AD$197, 0)), "")</f>
        <v>4.6898725825572125</v>
      </c>
      <c r="U52" s="836">
        <f>IF(ISNUMBER(INDEX(Database!$Q$6:$Q$197, MATCH($B52&amp;"% GDP", Database!$AD$6:$AD$197, 0))), INDEX(Database!$Q$6:$Q$197, MATCH($B52&amp;"% GDP", Database!$AD$6:$AD$197, 0)), "")</f>
        <v>4.6898725825572125</v>
      </c>
      <c r="V52" s="836"/>
      <c r="W52" s="836" t="str">
        <f>IF(ISNUMBER(INDEX(Database!$U$6:$U$197, MATCH($B52&amp;"% GDP", Database!$AD$6:$AD$197, 0))), INDEX(Database!$U$6:$U$197, MATCH($B52&amp;"% GDP", Database!$AD$6:$AD$197, 0)), "")</f>
        <v/>
      </c>
      <c r="X52" s="836" t="str">
        <f>IF(ISNUMBER(INDEX(Database!$W$6:$W$197, MATCH($B52&amp;"% GDP", Database!$AD$6:$AD$197, 0))), INDEX(Database!$W$6:$W$197, MATCH($B52&amp;"% GDP", Database!$AD$6:$AD$197, 0)), "")</f>
        <v/>
      </c>
      <c r="AB52" s="563"/>
    </row>
    <row r="53" spans="2:28">
      <c r="B53" s="7" t="s">
        <v>1025</v>
      </c>
      <c r="C53" s="839">
        <v>2.4042305549387901</v>
      </c>
      <c r="D53" s="833">
        <v>0.17485313126827565</v>
      </c>
      <c r="E53" s="833">
        <v>2.2293774236705146</v>
      </c>
      <c r="F53" s="833">
        <v>1.344183446624869</v>
      </c>
      <c r="G53" s="832"/>
      <c r="H53" s="839">
        <v>4.3822566024111582</v>
      </c>
      <c r="I53" s="833">
        <v>0</v>
      </c>
      <c r="J53" s="837"/>
      <c r="K53" s="833">
        <v>4.3822566024111582</v>
      </c>
      <c r="L53" s="833" t="s">
        <v>452</v>
      </c>
      <c r="M53" s="817"/>
      <c r="N53" s="817"/>
      <c r="O53" s="839">
        <v>2.5202589739197503</v>
      </c>
      <c r="P53" s="833">
        <v>0.18329156173961816</v>
      </c>
      <c r="Q53" s="833">
        <v>2.3369674121801323</v>
      </c>
      <c r="R53" s="833">
        <v>1.4090538808733148</v>
      </c>
      <c r="S53" s="832"/>
      <c r="T53" s="839">
        <v>4.5937447660991806</v>
      </c>
      <c r="U53" s="833">
        <v>0</v>
      </c>
      <c r="V53" s="837"/>
      <c r="W53" s="833">
        <v>4.5937447660991806</v>
      </c>
      <c r="X53" s="833" t="s">
        <v>452</v>
      </c>
      <c r="AB53" s="718"/>
    </row>
    <row r="54" spans="2:28">
      <c r="B54" s="7" t="s">
        <v>1026</v>
      </c>
      <c r="C54" s="839">
        <v>4.0361968256432039</v>
      </c>
      <c r="D54" s="833">
        <v>0.11211657849008899</v>
      </c>
      <c r="E54" s="833">
        <v>3.9240802471531144</v>
      </c>
      <c r="F54" s="833" t="s">
        <v>452</v>
      </c>
      <c r="G54" s="832"/>
      <c r="H54" s="839">
        <v>3.3634973547026692</v>
      </c>
      <c r="I54" s="833">
        <v>0.67269947094053384</v>
      </c>
      <c r="J54" s="837"/>
      <c r="K54" s="833">
        <v>2.5786813052720463</v>
      </c>
      <c r="L54" s="833">
        <v>0.11211657849008899</v>
      </c>
      <c r="M54" s="817"/>
      <c r="N54" s="817"/>
      <c r="O54" s="839">
        <v>8.0226062805152409</v>
      </c>
      <c r="P54" s="833">
        <v>0.22285017445875668</v>
      </c>
      <c r="Q54" s="833">
        <v>7.799756106056484</v>
      </c>
      <c r="R54" s="833" t="s">
        <v>452</v>
      </c>
      <c r="S54" s="832"/>
      <c r="T54" s="839">
        <v>6.6855052337626999</v>
      </c>
      <c r="U54" s="833">
        <v>1.3371010467525402</v>
      </c>
      <c r="V54" s="837"/>
      <c r="W54" s="833">
        <v>5.1255540125514027</v>
      </c>
      <c r="X54" s="833">
        <v>0.22285017445875668</v>
      </c>
      <c r="AB54" s="718"/>
    </row>
    <row r="55" spans="2:28">
      <c r="B55" s="7" t="s">
        <v>21</v>
      </c>
      <c r="C55" s="831">
        <f>IF(ISNUMBER(INDEX(Database!$G$6:$G$197, MATCH($B55&amp;"USD bn", Database!$AD$6:$AD$197, 0))), INDEX(Database!$G$6:$G$197, MATCH($B55&amp;"USD bn", Database!$AD$6:$AD$197, 0)), "")</f>
        <v>22.474815922163589</v>
      </c>
      <c r="D55" s="832">
        <f>IF(ISNUMBER(INDEX(Database!$H$6:$H$197, MATCH($B55&amp;"USD bn", Database!$AD$6:$AD$197, 0))), INDEX(Database!$H$6:$H$197, MATCH($B55&amp;"USD bn", Database!$AD$6:$AD$197, 0)), "")</f>
        <v>4.125811618561432</v>
      </c>
      <c r="E55" s="832">
        <f>IF(ISNUMBER(INDEX(Database!$J$6:$J$197, MATCH($B55&amp;"USD bn", Database!$AD$6:$AD$197, 0))), INDEX(Database!$J$6:$J$197, MATCH($B55&amp;"USD bn", Database!$AD$6:$AD$197, 0)), "")</f>
        <v>18.349004303602158</v>
      </c>
      <c r="F55" s="833">
        <f>IF(ISNUMBER(INDEX(Database!$L$6:$L$197, MATCH($B55&amp;"USD bn", Database!$AD$6:$AD$197, 0))), INDEX(Database!$L$6:$L$197, MATCH($B55&amp;"USD bn", Database!$AD$6:$AD$197, 0)), "")</f>
        <v>36.372286637317892</v>
      </c>
      <c r="G55" s="832"/>
      <c r="H55" s="831">
        <f>IF(ISNUMBER(INDEX(Database!$P$6:$P$197, MATCH($B55&amp;"USD bn", Database!$AD$6:$AD$197, 0))), INDEX(Database!$P$6:$P$197, MATCH($B55&amp;"USD bn", Database!$AD$6:$AD$197, 0)), "")</f>
        <v>28.413813173092809</v>
      </c>
      <c r="I55" s="837">
        <f>IF(ISNUMBER(INDEX(Database!$Q$6:$Q$197, MATCH($B55&amp;"USD bn", Database!$AD$6:$AD$197, 0))), INDEX(Database!$Q$6:$Q$197, MATCH($B55&amp;"USD bn", Database!$AD$6:$AD$197, 0)), "")</f>
        <v>1.2703156825570725</v>
      </c>
      <c r="J55" s="837"/>
      <c r="K55" s="837">
        <f>IF(ISNUMBER(INDEX(Database!$U$6:$U$197, MATCH($B55&amp;"USD bn", Database!$AD$6:$AD$197, 0))), INDEX(Database!$U$6:$U$197, MATCH($B55&amp;"USD bn", Database!$AD$6:$AD$197, 0)), "")</f>
        <v>27.143497490535736</v>
      </c>
      <c r="L55" s="837" t="str">
        <f>IF(ISNUMBER(INDEX(Database!$W$6:$W$197, MATCH($B55&amp;"USD bn", Database!$AD$6:$AD$197, 0))), INDEX(Database!$W$6:$W$197, MATCH($B55&amp;"USD bn", Database!$AD$6:$AD$197, 0)), "")</f>
        <v/>
      </c>
      <c r="M55" s="817"/>
      <c r="N55" s="817"/>
      <c r="O55" s="835">
        <f>IF(ISNUMBER(INDEX(Database!$G$6:$G$197, MATCH($B55&amp;"% GDP", Database!$AD$6:$AD$197, 0))), INDEX(Database!$G$6:$G$197, MATCH($B55&amp;"% GDP", Database!$AD$6:$AD$197, 0)), "")</f>
        <v>4.1538214254109116</v>
      </c>
      <c r="P55" s="836">
        <f>IF(ISNUMBER(INDEX(Database!$H$6:$H$197, MATCH($B55&amp;"% GDP", Database!$AD$6:$AD$197, 0))), INDEX(Database!$H$6:$H$197, MATCH($B55&amp;"% GDP", Database!$AD$6:$AD$197, 0)), "")</f>
        <v>0.76253726650055398</v>
      </c>
      <c r="Q55" s="836">
        <f>IF(ISNUMBER(INDEX(Database!$J$6:$J$197, MATCH($B55&amp;"% GDP", Database!$AD$6:$AD$197, 0))), INDEX(Database!$J$6:$J$197, MATCH($B55&amp;"% GDP", Database!$AD$6:$AD$197, 0)), "")</f>
        <v>3.3912841589103584</v>
      </c>
      <c r="R55" s="836">
        <f>IF(ISNUMBER(INDEX(Database!$L$6:$L$197, MATCH($B55&amp;"% GDP", Database!$AD$6:$AD$197, 0))), INDEX(Database!$L$6:$L$197, MATCH($B55&amp;"% GDP", Database!$AD$6:$AD$197, 0)), "")</f>
        <v>6.7223680073075149</v>
      </c>
      <c r="S55" s="836"/>
      <c r="T55" s="835">
        <f>IF(ISNUMBER(INDEX(Database!$P$6:$P$197, MATCH($B55&amp;"% GDP", Database!$AD$6:$AD$197, 0))), INDEX(Database!$P$6:$P$197, MATCH($B55&amp;"% GDP", Database!$AD$6:$AD$197, 0)), "")</f>
        <v>5.2514737537682885</v>
      </c>
      <c r="U55" s="836">
        <f>IF(ISNUMBER(INDEX(Database!$Q$6:$Q$197, MATCH($B55&amp;"% GDP", Database!$AD$6:$AD$197, 0))), INDEX(Database!$Q$6:$Q$197, MATCH($B55&amp;"% GDP", Database!$AD$6:$AD$197, 0)), "")</f>
        <v>0.2347812110014863</v>
      </c>
      <c r="V55" s="836"/>
      <c r="W55" s="836">
        <f>IF(ISNUMBER(INDEX(Database!$U$6:$U$197, MATCH($B55&amp;"% GDP", Database!$AD$6:$AD$197, 0))), INDEX(Database!$U$6:$U$197, MATCH($B55&amp;"% GDP", Database!$AD$6:$AD$197, 0)), "")</f>
        <v>5.0166925427668021</v>
      </c>
      <c r="X55" s="836" t="str">
        <f>IF(ISNUMBER(INDEX(Database!$W$6:$W$197, MATCH($B55&amp;"% GDP", Database!$AD$6:$AD$197, 0))), INDEX(Database!$W$6:$W$197, MATCH($B55&amp;"% GDP", Database!$AD$6:$AD$197, 0)), "")</f>
        <v/>
      </c>
      <c r="AB55" s="563"/>
    </row>
    <row r="56" spans="2:28">
      <c r="B56" s="7" t="s">
        <v>558</v>
      </c>
      <c r="C56" s="831">
        <f>IF(ISNUMBER(INDEX(Database!$G$6:$G$197, MATCH($B56&amp;"USD bn", Database!$AD$6:$AD$197, 0))), INDEX(Database!$G$6:$G$197, MATCH($B56&amp;"USD bn", Database!$AD$6:$AD$197, 0)), "")</f>
        <v>59.481808256628398</v>
      </c>
      <c r="D56" s="832">
        <f>IF(ISNUMBER(INDEX(Database!$H$6:$H$197, MATCH($B56&amp;"USD bn", Database!$AD$6:$AD$197, 0))), INDEX(Database!$H$6:$H$197, MATCH($B56&amp;"USD bn", Database!$AD$6:$AD$197, 0)), "")</f>
        <v>7.6892624776985965</v>
      </c>
      <c r="E56" s="832">
        <f>IF(ISNUMBER(INDEX(Database!$J$6:$J$197, MATCH($B56&amp;"USD bn", Database!$AD$6:$AD$197, 0))), INDEX(Database!$J$6:$J$197, MATCH($B56&amp;"USD bn", Database!$AD$6:$AD$197, 0)), "")</f>
        <v>51.792545778929799</v>
      </c>
      <c r="F56" s="833" t="str">
        <f>IF(ISNUMBER(INDEX(Database!$L$6:$L$197, MATCH($B56&amp;"USD bn", Database!$AD$6:$AD$197, 0))), INDEX(Database!$L$6:$L$197, MATCH($B56&amp;"USD bn", Database!$AD$6:$AD$197, 0)), "")</f>
        <v/>
      </c>
      <c r="G56" s="832"/>
      <c r="H56" s="831">
        <f>IF(ISNUMBER(INDEX(Database!$P$6:$P$197, MATCH($B56&amp;"USD bn", Database!$AD$6:$AD$197, 0))), INDEX(Database!$P$6:$P$197, MATCH($B56&amp;"USD bn", Database!$AD$6:$AD$197, 0)), "")</f>
        <v>46.733119713121745</v>
      </c>
      <c r="I56" s="837">
        <f>IF(ISNUMBER(INDEX(Database!$Q$6:$Q$197, MATCH($B56&amp;"USD bn", Database!$AD$6:$AD$197, 0))), INDEX(Database!$Q$6:$Q$197, MATCH($B56&amp;"USD bn", Database!$AD$6:$AD$197, 0)), "")</f>
        <v>1.1716565626081807</v>
      </c>
      <c r="J56" s="837"/>
      <c r="K56" s="837">
        <f>IF(ISNUMBER(INDEX(Database!$U$6:$U$197, MATCH($B56&amp;"USD bn", Database!$AD$6:$AD$197, 0))), INDEX(Database!$U$6:$U$197, MATCH($B56&amp;"USD bn", Database!$AD$6:$AD$197, 0)), "")</f>
        <v>45.561463150513568</v>
      </c>
      <c r="L56" s="837" t="str">
        <f>IF(ISNUMBER(INDEX(Database!$W$6:$W$197, MATCH($B56&amp;"USD bn", Database!$AD$6:$AD$197, 0))), INDEX(Database!$W$6:$W$197, MATCH($B56&amp;"USD bn", Database!$AD$6:$AD$197, 0)), "")</f>
        <v/>
      </c>
      <c r="M56" s="817"/>
      <c r="N56" s="817"/>
      <c r="O56" s="835">
        <f>IF(ISNUMBER(INDEX(Database!$G$6:$G$197, MATCH($B56&amp;"% GDP", Database!$AD$6:$AD$197, 0))), INDEX(Database!$G$6:$G$197, MATCH($B56&amp;"% GDP", Database!$AD$6:$AD$197, 0)), "")</f>
        <v>7.9111095244692748</v>
      </c>
      <c r="P56" s="836">
        <f>IF(ISNUMBER(INDEX(Database!$H$6:$H$197, MATCH($B56&amp;"% GDP", Database!$AD$6:$AD$197, 0))), INDEX(Database!$H$6:$H$197, MATCH($B56&amp;"% GDP", Database!$AD$6:$AD$197, 0)), "")</f>
        <v>1.0226756617925596</v>
      </c>
      <c r="Q56" s="836">
        <f>IF(ISNUMBER(INDEX(Database!$J$6:$J$197, MATCH($B56&amp;"% GDP", Database!$AD$6:$AD$197, 0))), INDEX(Database!$J$6:$J$197, MATCH($B56&amp;"% GDP", Database!$AD$6:$AD$197, 0)), "")</f>
        <v>6.8884338626767159</v>
      </c>
      <c r="R56" s="836" t="str">
        <f>IF(ISNUMBER(INDEX(Database!$L$6:$L$197, MATCH($B56&amp;"% GDP", Database!$AD$6:$AD$197, 0))), INDEX(Database!$L$6:$L$197, MATCH($B56&amp;"% GDP", Database!$AD$6:$AD$197, 0)), "")</f>
        <v/>
      </c>
      <c r="S56" s="836"/>
      <c r="T56" s="835">
        <f>IF(ISNUMBER(INDEX(Database!$P$6:$P$197, MATCH($B56&amp;"% GDP", Database!$AD$6:$AD$197, 0))), INDEX(Database!$P$6:$P$197, MATCH($B56&amp;"% GDP", Database!$AD$6:$AD$197, 0)), "")</f>
        <v>6.2155277269910725</v>
      </c>
      <c r="U56" s="836">
        <f>IF(ISNUMBER(INDEX(Database!$Q$6:$Q$197, MATCH($B56&amp;"% GDP", Database!$AD$6:$AD$197, 0))), INDEX(Database!$Q$6:$Q$197, MATCH($B56&amp;"% GDP", Database!$AD$6:$AD$197, 0)), "")</f>
        <v>0.15583089457983315</v>
      </c>
      <c r="V56" s="836"/>
      <c r="W56" s="836">
        <f>IF(ISNUMBER(INDEX(Database!$U$6:$U$197, MATCH($B56&amp;"% GDP", Database!$AD$6:$AD$197, 0))), INDEX(Database!$U$6:$U$197, MATCH($B56&amp;"% GDP", Database!$AD$6:$AD$197, 0)), "")</f>
        <v>6.0596968324112392</v>
      </c>
      <c r="X56" s="836" t="str">
        <f>IF(ISNUMBER(INDEX(Database!$W$6:$W$197, MATCH($B56&amp;"% GDP", Database!$AD$6:$AD$197, 0))), INDEX(Database!$W$6:$W$197, MATCH($B56&amp;"% GDP", Database!$AD$6:$AD$197, 0)), "")</f>
        <v/>
      </c>
      <c r="AB56" s="563"/>
    </row>
    <row r="57" spans="2:28">
      <c r="B57" s="7" t="s">
        <v>184</v>
      </c>
      <c r="C57" s="831">
        <f>IF(ISNUMBER(INDEX(Database!$G$6:$G$197, MATCH($B57&amp;"USD bn", Database!$AD$6:$AD$197, 0))), INDEX(Database!$G$6:$G$197, MATCH($B57&amp;"USD bn", Database!$AD$6:$AD$197, 0)), "")</f>
        <v>93.92749702486816</v>
      </c>
      <c r="D57" s="832">
        <f>IF(ISNUMBER(INDEX(Database!$H$6:$H$197, MATCH($B57&amp;"USD bn", Database!$AD$6:$AD$197, 0))), INDEX(Database!$H$6:$H$197, MATCH($B57&amp;"USD bn", Database!$AD$6:$AD$197, 0)), "")</f>
        <v>18.94527886528325</v>
      </c>
      <c r="E57" s="832">
        <f>IF(ISNUMBER(INDEX(Database!$J$6:$J$197, MATCH($B57&amp;"USD bn", Database!$AD$6:$AD$197, 0))), INDEX(Database!$J$6:$J$197, MATCH($B57&amp;"USD bn", Database!$AD$6:$AD$197, 0)), "")</f>
        <v>74.982218159584903</v>
      </c>
      <c r="F57" s="833">
        <f>IF(ISNUMBER(INDEX(Database!$L$6:$L$197, MATCH($B57&amp;"USD bn", Database!$AD$6:$AD$197, 0))), INDEX(Database!$L$6:$L$197, MATCH($B57&amp;"USD bn", Database!$AD$6:$AD$197, 0)), "")</f>
        <v>13.124741382575744</v>
      </c>
      <c r="G57" s="832"/>
      <c r="H57" s="831">
        <f>IF(ISNUMBER(INDEX(Database!$P$6:$P$197, MATCH($B57&amp;"USD bn", Database!$AD$6:$AD$197, 0))), INDEX(Database!$P$6:$P$197, MATCH($B57&amp;"USD bn", Database!$AD$6:$AD$197, 0)), "")</f>
        <v>39.716608705533552</v>
      </c>
      <c r="I57" s="837" t="str">
        <f>IF(ISNUMBER(INDEX(Database!$Q$6:$Q$197, MATCH($B57&amp;"USD bn", Database!$AD$6:$AD$197, 0))), INDEX(Database!$Q$6:$Q$197, MATCH($B57&amp;"USD bn", Database!$AD$6:$AD$197, 0)), "")</f>
        <v/>
      </c>
      <c r="J57" s="837"/>
      <c r="K57" s="837">
        <f>IF(ISNUMBER(INDEX(Database!$U$6:$U$197, MATCH($B57&amp;"USD bn", Database!$AD$6:$AD$197, 0))), INDEX(Database!$U$6:$U$197, MATCH($B57&amp;"USD bn", Database!$AD$6:$AD$197, 0)), "")</f>
        <v>39.716608705533552</v>
      </c>
      <c r="L57" s="837" t="str">
        <f>IF(ISNUMBER(INDEX(Database!$W$6:$W$197, MATCH($B57&amp;"USD bn", Database!$AD$6:$AD$197, 0))), INDEX(Database!$W$6:$W$197, MATCH($B57&amp;"USD bn", Database!$AD$6:$AD$197, 0)), "")</f>
        <v/>
      </c>
      <c r="M57" s="817"/>
      <c r="N57" s="817"/>
      <c r="O57" s="835">
        <f>IF(ISNUMBER(INDEX(Database!$G$6:$G$197, MATCH($B57&amp;"% GDP", Database!$AD$6:$AD$197, 0))), INDEX(Database!$G$6:$G$197, MATCH($B57&amp;"% GDP", Database!$AD$6:$AD$197, 0)), "")</f>
        <v>10.2862785044276</v>
      </c>
      <c r="P57" s="836">
        <f>IF(ISNUMBER(INDEX(Database!$H$6:$H$197, MATCH($B57&amp;"% GDP", Database!$AD$6:$AD$197, 0))), INDEX(Database!$H$6:$H$197, MATCH($B57&amp;"% GDP", Database!$AD$6:$AD$197, 0)), "")</f>
        <v>2.0747536230072678</v>
      </c>
      <c r="Q57" s="836">
        <f>IF(ISNUMBER(INDEX(Database!$J$6:$J$197, MATCH($B57&amp;"% GDP", Database!$AD$6:$AD$197, 0))), INDEX(Database!$J$6:$J$197, MATCH($B57&amp;"% GDP", Database!$AD$6:$AD$197, 0)), "")</f>
        <v>8.2115248814203312</v>
      </c>
      <c r="R57" s="836">
        <f>IF(ISNUMBER(INDEX(Database!$L$6:$L$197, MATCH($B57&amp;"% GDP", Database!$AD$6:$AD$197, 0))), INDEX(Database!$L$6:$L$197, MATCH($B57&amp;"% GDP", Database!$AD$6:$AD$197, 0)), "")</f>
        <v>1.4373293171435892</v>
      </c>
      <c r="S57" s="836"/>
      <c r="T57" s="835">
        <f>IF(ISNUMBER(INDEX(Database!$P$6:$P$197, MATCH($B57&amp;"% GDP", Database!$AD$6:$AD$197, 0))), INDEX(Database!$P$6:$P$197, MATCH($B57&amp;"% GDP", Database!$AD$6:$AD$197, 0)), "")</f>
        <v>4.3494834988345135</v>
      </c>
      <c r="U57" s="836" t="str">
        <f>IF(ISNUMBER(INDEX(Database!$Q$6:$Q$197, MATCH($B57&amp;"% GDP", Database!$AD$6:$AD$197, 0))), INDEX(Database!$Q$6:$Q$197, MATCH($B57&amp;"% GDP", Database!$AD$6:$AD$197, 0)), "")</f>
        <v/>
      </c>
      <c r="V57" s="836"/>
      <c r="W57" s="836">
        <f>IF(ISNUMBER(INDEX(Database!$U$6:$U$197, MATCH($B57&amp;"% GDP", Database!$AD$6:$AD$197, 0))), INDEX(Database!$U$6:$U$197, MATCH($B57&amp;"% GDP", Database!$AD$6:$AD$197, 0)), "")</f>
        <v>4.3494834988345135</v>
      </c>
      <c r="X57" s="836" t="str">
        <f>IF(ISNUMBER(INDEX(Database!$W$6:$W$197, MATCH($B57&amp;"% GDP", Database!$AD$6:$AD$197, 0))), INDEX(Database!$W$6:$W$197, MATCH($B57&amp;"% GDP", Database!$AD$6:$AD$197, 0)), "")</f>
        <v/>
      </c>
      <c r="AB57" s="563"/>
    </row>
    <row r="58" spans="2:28">
      <c r="B58" s="838" t="s">
        <v>870</v>
      </c>
      <c r="C58" s="831"/>
      <c r="D58" s="832"/>
      <c r="E58" s="832"/>
      <c r="F58" s="833"/>
      <c r="G58" s="832"/>
      <c r="H58" s="831"/>
      <c r="I58" s="837" t="str">
        <f>IF(ISNUMBER(INDEX(Database!$Q$6:$Q$197, MATCH($B58&amp;"USD bn", Database!$AD$6:$AD$197, 0))), INDEX(Database!$Q$6:$Q$197, MATCH($B58&amp;"USD bn", Database!$AD$6:$AD$197, 0)), "")</f>
        <v/>
      </c>
      <c r="J58" s="837"/>
      <c r="K58" s="837" t="str">
        <f>IF(ISNUMBER(INDEX(Database!$U$6:$U$197, MATCH($B58&amp;"USD bn", Database!$AD$6:$AD$197, 0))), INDEX(Database!$U$6:$U$197, MATCH($B58&amp;"USD bn", Database!$AD$6:$AD$197, 0)), "")</f>
        <v/>
      </c>
      <c r="L58" s="837" t="str">
        <f>IF(ISNUMBER(INDEX(Database!$W$6:$W$197, MATCH($B58&amp;"USD bn", Database!$AD$6:$AD$197, 0))), INDEX(Database!$W$6:$W$197, MATCH($B58&amp;"USD bn", Database!$AD$6:$AD$197, 0)), "")</f>
        <v/>
      </c>
      <c r="M58" s="817"/>
      <c r="N58" s="817"/>
      <c r="O58" s="835" t="str">
        <f>IF(ISNUMBER(INDEX(Database!$G$6:$G$197, MATCH($B58&amp;"% GDP", Database!$AD$6:$AD$197, 0))), INDEX(Database!$G$6:$G$197, MATCH($B58&amp;"% GDP", Database!$AD$6:$AD$197, 0)), "")</f>
        <v/>
      </c>
      <c r="P58" s="836" t="str">
        <f>IF(ISNUMBER(INDEX(Database!$H$6:$H$197, MATCH($B58&amp;"% GDP", Database!$AD$6:$AD$197, 0))), INDEX(Database!$H$6:$H$197, MATCH($B58&amp;"% GDP", Database!$AD$6:$AD$197, 0)), "")</f>
        <v/>
      </c>
      <c r="Q58" s="836" t="str">
        <f>IF(ISNUMBER(INDEX(Database!$J$6:$J$197, MATCH($B58&amp;"% GDP", Database!$AD$6:$AD$197, 0))), INDEX(Database!$J$6:$J$197, MATCH($B58&amp;"% GDP", Database!$AD$6:$AD$197, 0)), "")</f>
        <v/>
      </c>
      <c r="R58" s="836" t="str">
        <f>IF(ISNUMBER(INDEX(Database!$L$6:$L$197, MATCH($B58&amp;"% GDP", Database!$AD$6:$AD$197, 0))), INDEX(Database!$L$6:$L$197, MATCH($B58&amp;"% GDP", Database!$AD$6:$AD$197, 0)), "")</f>
        <v/>
      </c>
      <c r="S58" s="836"/>
      <c r="T58" s="835" t="str">
        <f>IF(ISNUMBER(INDEX(Database!$P$6:$P$197, MATCH($B58&amp;"% GDP", Database!$AD$6:$AD$197, 0))), INDEX(Database!$P$6:$P$197, MATCH($B58&amp;"% GDP", Database!$AD$6:$AD$197, 0)), "")</f>
        <v/>
      </c>
      <c r="U58" s="836" t="str">
        <f>IF(ISNUMBER(INDEX(Database!$Q$6:$Q$197, MATCH($B58&amp;"% GDP", Database!$AD$6:$AD$197, 0))), INDEX(Database!$Q$6:$Q$197, MATCH($B58&amp;"% GDP", Database!$AD$6:$AD$197, 0)), "")</f>
        <v/>
      </c>
      <c r="V58" s="836"/>
      <c r="W58" s="836" t="str">
        <f>IF(ISNUMBER(INDEX(Database!$U$6:$U$197, MATCH($B58&amp;"% GDP", Database!$AD$6:$AD$197, 0))), INDEX(Database!$U$6:$U$197, MATCH($B58&amp;"% GDP", Database!$AD$6:$AD$197, 0)), "")</f>
        <v/>
      </c>
      <c r="X58" s="836" t="str">
        <f>IF(ISNUMBER(INDEX(Database!$W$6:$W$197, MATCH($B58&amp;"% GDP", Database!$AD$6:$AD$197, 0))), INDEX(Database!$W$6:$W$197, MATCH($B58&amp;"% GDP", Database!$AD$6:$AD$197, 0)), "")</f>
        <v/>
      </c>
      <c r="AB58" s="565"/>
    </row>
    <row r="59" spans="2:28">
      <c r="B59" s="764" t="s">
        <v>41</v>
      </c>
      <c r="C59" s="840">
        <f>IF(ISNUMBER(INDEX(Database!$G$6:$G$197, MATCH($B59&amp;"USD bn", Database!$AD$6:$AD$197, 0))), INDEX(Database!$G$6:$G$197, MATCH($B59&amp;"USD bn", Database!$AD$6:$AD$197, 0)), "")</f>
        <v>0.33382004491368428</v>
      </c>
      <c r="D59" s="837">
        <f>IF(ISNUMBER(INDEX(Database!$H$6:$H$197, MATCH($B59&amp;"USD bn", Database!$AD$6:$AD$197, 0))), INDEX(Database!$H$6:$H$197, MATCH($B59&amp;"USD bn", Database!$AD$6:$AD$197, 0)), "")</f>
        <v>0.16783217727704566</v>
      </c>
      <c r="E59" s="837">
        <f>IF(ISNUMBER(INDEX(Database!$J$6:$J$197, MATCH($B59&amp;"USD bn", Database!$AD$6:$AD$197, 0))), INDEX(Database!$J$6:$J$197, MATCH($B59&amp;"USD bn", Database!$AD$6:$AD$197, 0)), "")</f>
        <v>0.16598786763663859</v>
      </c>
      <c r="F59" s="833" t="str">
        <f>IF(ISNUMBER(INDEX(Database!$L$6:$L$197, MATCH($B59&amp;"USD bn", Database!$AD$6:$AD$197, 0))), INDEX(Database!$L$6:$L$197, MATCH($B59&amp;"USD bn", Database!$AD$6:$AD$197, 0)), "")</f>
        <v/>
      </c>
      <c r="G59" s="837"/>
      <c r="H59" s="840">
        <f>IF(ISNUMBER(INDEX(Database!$P$6:$P$197, MATCH($B59&amp;"USD bn", Database!$AD$6:$AD$197, 0))), INDEX(Database!$P$6:$P$197, MATCH($B59&amp;"USD bn", Database!$AD$6:$AD$197, 0)), "")</f>
        <v>0.23976025325292241</v>
      </c>
      <c r="I59" s="837" t="str">
        <f>IF(ISNUMBER(INDEX(Database!$Q$6:$Q$197, MATCH($B59&amp;"USD bn", Database!$AD$6:$AD$197, 0))), INDEX(Database!$Q$6:$Q$197, MATCH($B59&amp;"USD bn", Database!$AD$6:$AD$197, 0)), "")</f>
        <v/>
      </c>
      <c r="J59" s="837"/>
      <c r="K59" s="837">
        <f>IF(ISNUMBER(INDEX(Database!$U$6:$U$197, MATCH($B59&amp;"USD bn", Database!$AD$6:$AD$197, 0))), INDEX(Database!$U$6:$U$197, MATCH($B59&amp;"USD bn", Database!$AD$6:$AD$197, 0)), "")</f>
        <v>0.23976025325292241</v>
      </c>
      <c r="L59" s="837" t="str">
        <f>IF(ISNUMBER(INDEX(Database!$W$6:$W$197, MATCH($B59&amp;"USD bn", Database!$AD$6:$AD$197, 0))), INDEX(Database!$W$6:$W$197, MATCH($B59&amp;"USD bn", Database!$AD$6:$AD$197, 0)), "")</f>
        <v/>
      </c>
      <c r="M59" s="817"/>
      <c r="N59" s="817"/>
      <c r="O59" s="835">
        <f>IF(ISNUMBER(INDEX(Database!$G$6:$G$197, MATCH($B59&amp;"% GDP", Database!$AD$6:$AD$197, 0))), INDEX(Database!$G$6:$G$197, MATCH($B59&amp;"% GDP", Database!$AD$6:$AD$197, 0)), "")</f>
        <v>2.2512745821149296</v>
      </c>
      <c r="P59" s="836">
        <f>IF(ISNUMBER(INDEX(Database!$H$6:$H$197, MATCH($B59&amp;"% GDP", Database!$AD$6:$AD$197, 0))), INDEX(Database!$H$6:$H$197, MATCH($B59&amp;"% GDP", Database!$AD$6:$AD$197, 0)), "")</f>
        <v>1.1318562816157931</v>
      </c>
      <c r="Q59" s="836">
        <f>IF(ISNUMBER(INDEX(Database!$J$6:$J$197, MATCH($B59&amp;"% GDP", Database!$AD$6:$AD$197, 0))), INDEX(Database!$J$6:$J$197, MATCH($B59&amp;"% GDP", Database!$AD$6:$AD$197, 0)), "")</f>
        <v>1.119418300499136</v>
      </c>
      <c r="R59" s="836" t="str">
        <f>IF(ISNUMBER(INDEX(Database!$L$6:$L$197, MATCH($B59&amp;"% GDP", Database!$AD$6:$AD$197, 0))), INDEX(Database!$L$6:$L$197, MATCH($B59&amp;"% GDP", Database!$AD$6:$AD$197, 0)), "")</f>
        <v/>
      </c>
      <c r="S59" s="836"/>
      <c r="T59" s="835">
        <f>IF(ISNUMBER(INDEX(Database!$P$6:$P$197, MATCH($B59&amp;"% GDP", Database!$AD$6:$AD$197, 0))), INDEX(Database!$P$6:$P$197, MATCH($B59&amp;"% GDP", Database!$AD$6:$AD$197, 0)), "")</f>
        <v>1.6169375451654189</v>
      </c>
      <c r="U59" s="836" t="str">
        <f>IF(ISNUMBER(INDEX(Database!$Q$6:$Q$197, MATCH($B59&amp;"% GDP", Database!$AD$6:$AD$197, 0))), INDEX(Database!$Q$6:$Q$197, MATCH($B59&amp;"% GDP", Database!$AD$6:$AD$197, 0)), "")</f>
        <v/>
      </c>
      <c r="V59" s="836"/>
      <c r="W59" s="836">
        <f>IF(ISNUMBER(INDEX(Database!$U$6:$U$197, MATCH($B59&amp;"% GDP", Database!$AD$6:$AD$197, 0))), INDEX(Database!$U$6:$U$197, MATCH($B59&amp;"% GDP", Database!$AD$6:$AD$197, 0)), "")</f>
        <v>1.6169375451654189</v>
      </c>
      <c r="X59" s="836" t="str">
        <f>IF(ISNUMBER(INDEX(Database!$W$6:$W$197, MATCH($B59&amp;"% GDP", Database!$AD$6:$AD$197, 0))), INDEX(Database!$W$6:$W$197, MATCH($B59&amp;"% GDP", Database!$AD$6:$AD$197, 0)), "")</f>
        <v/>
      </c>
      <c r="AB59" s="562"/>
    </row>
    <row r="60" spans="2:28">
      <c r="B60" s="764" t="s">
        <v>1027</v>
      </c>
      <c r="C60" s="839">
        <v>0.56448952131791386</v>
      </c>
      <c r="D60" s="833">
        <v>0.23547277174975836</v>
      </c>
      <c r="E60" s="833">
        <v>0.32901674956815552</v>
      </c>
      <c r="F60" s="833" t="s">
        <v>452</v>
      </c>
      <c r="G60" s="837"/>
      <c r="H60" s="839" t="s">
        <v>452</v>
      </c>
      <c r="I60" s="833" t="s">
        <v>452</v>
      </c>
      <c r="J60" s="837"/>
      <c r="K60" s="833" t="s">
        <v>452</v>
      </c>
      <c r="L60" s="833" t="s">
        <v>452</v>
      </c>
      <c r="M60" s="817"/>
      <c r="N60" s="817"/>
      <c r="O60" s="839">
        <v>0.38399043139413336</v>
      </c>
      <c r="P60" s="833">
        <v>0.16017886566726702</v>
      </c>
      <c r="Q60" s="833">
        <v>0.22381156572686625</v>
      </c>
      <c r="R60" s="833" t="s">
        <v>452</v>
      </c>
      <c r="S60" s="832"/>
      <c r="T60" s="839" t="s">
        <v>452</v>
      </c>
      <c r="U60" s="833" t="s">
        <v>452</v>
      </c>
      <c r="V60" s="837"/>
      <c r="W60" s="833" t="s">
        <v>452</v>
      </c>
      <c r="X60" s="833" t="s">
        <v>452</v>
      </c>
      <c r="AB60" s="717"/>
    </row>
    <row r="61" spans="2:28">
      <c r="B61" s="764" t="s">
        <v>1028</v>
      </c>
      <c r="C61" s="839">
        <v>0.30338656061823427</v>
      </c>
      <c r="D61" s="833" t="s">
        <v>452</v>
      </c>
      <c r="E61" s="833" t="s">
        <v>452</v>
      </c>
      <c r="F61" s="833" t="s">
        <v>452</v>
      </c>
      <c r="G61" s="837"/>
      <c r="H61" s="839" t="s">
        <v>452</v>
      </c>
      <c r="I61" s="833" t="s">
        <v>452</v>
      </c>
      <c r="J61" s="837"/>
      <c r="K61" s="833" t="s">
        <v>452</v>
      </c>
      <c r="L61" s="833" t="s">
        <v>452</v>
      </c>
      <c r="M61" s="817"/>
      <c r="N61" s="817"/>
      <c r="O61" s="839">
        <v>0.49094274626459383</v>
      </c>
      <c r="P61" s="833" t="s">
        <v>452</v>
      </c>
      <c r="Q61" s="833" t="s">
        <v>452</v>
      </c>
      <c r="R61" s="833" t="s">
        <v>452</v>
      </c>
      <c r="S61" s="832"/>
      <c r="T61" s="839" t="s">
        <v>452</v>
      </c>
      <c r="U61" s="833" t="s">
        <v>452</v>
      </c>
      <c r="V61" s="837"/>
      <c r="W61" s="833" t="s">
        <v>452</v>
      </c>
      <c r="X61" s="833" t="s">
        <v>452</v>
      </c>
      <c r="AB61" s="717"/>
    </row>
    <row r="62" spans="2:28">
      <c r="B62" s="764" t="s">
        <v>1029</v>
      </c>
      <c r="C62" s="839" t="s">
        <v>452</v>
      </c>
      <c r="D62" s="833" t="s">
        <v>452</v>
      </c>
      <c r="E62" s="833" t="s">
        <v>452</v>
      </c>
      <c r="F62" s="833" t="s">
        <v>452</v>
      </c>
      <c r="G62" s="837"/>
      <c r="H62" s="839" t="s">
        <v>452</v>
      </c>
      <c r="I62" s="833" t="s">
        <v>452</v>
      </c>
      <c r="J62" s="837"/>
      <c r="K62" s="833" t="s">
        <v>452</v>
      </c>
      <c r="L62" s="833" t="s">
        <v>452</v>
      </c>
      <c r="M62" s="817"/>
      <c r="N62" s="817"/>
      <c r="O62" s="839" t="s">
        <v>452</v>
      </c>
      <c r="P62" s="833" t="s">
        <v>452</v>
      </c>
      <c r="Q62" s="833" t="s">
        <v>452</v>
      </c>
      <c r="R62" s="833" t="s">
        <v>452</v>
      </c>
      <c r="S62" s="832"/>
      <c r="T62" s="839" t="s">
        <v>452</v>
      </c>
      <c r="U62" s="833" t="s">
        <v>452</v>
      </c>
      <c r="V62" s="837"/>
      <c r="W62" s="833" t="s">
        <v>452</v>
      </c>
      <c r="X62" s="833" t="s">
        <v>452</v>
      </c>
      <c r="AB62" s="717"/>
    </row>
    <row r="63" spans="2:28">
      <c r="B63" s="864" t="s">
        <v>1030</v>
      </c>
      <c r="C63" s="839">
        <v>7.407407407407407E-2</v>
      </c>
      <c r="D63" s="833">
        <v>3.7037037037037034E-3</v>
      </c>
      <c r="E63" s="855">
        <v>0</v>
      </c>
      <c r="F63" s="855" t="s">
        <v>452</v>
      </c>
      <c r="G63" s="859"/>
      <c r="H63" s="856">
        <v>0</v>
      </c>
      <c r="I63" s="855">
        <v>0</v>
      </c>
      <c r="J63" s="859"/>
      <c r="K63" s="855" t="s">
        <v>452</v>
      </c>
      <c r="L63" s="855" t="s">
        <v>452</v>
      </c>
      <c r="M63" s="860"/>
      <c r="N63" s="860"/>
      <c r="O63" s="856">
        <v>3.6</v>
      </c>
      <c r="P63" s="855">
        <v>0.2</v>
      </c>
      <c r="Q63" s="855">
        <v>3.4</v>
      </c>
      <c r="R63" s="855">
        <v>1.7</v>
      </c>
      <c r="S63" s="866"/>
      <c r="T63" s="856">
        <v>0</v>
      </c>
      <c r="U63" s="833"/>
      <c r="V63" s="837"/>
      <c r="W63" s="833" t="s">
        <v>452</v>
      </c>
      <c r="X63" s="833" t="s">
        <v>452</v>
      </c>
      <c r="AB63" s="717"/>
    </row>
    <row r="64" spans="2:28">
      <c r="B64" s="764" t="s">
        <v>1031</v>
      </c>
      <c r="C64" s="839">
        <v>0.19763564716580781</v>
      </c>
      <c r="D64" s="833">
        <v>7.901384257855916E-2</v>
      </c>
      <c r="E64" s="833">
        <v>0.11862180458724865</v>
      </c>
      <c r="F64" s="833">
        <v>0</v>
      </c>
      <c r="G64" s="837"/>
      <c r="H64" s="839">
        <v>0.18450035364251793</v>
      </c>
      <c r="I64" s="833">
        <v>0.18450035364251793</v>
      </c>
      <c r="J64" s="837"/>
      <c r="K64" s="833">
        <v>0</v>
      </c>
      <c r="L64" s="833">
        <v>0</v>
      </c>
      <c r="M64" s="817"/>
      <c r="N64" s="817"/>
      <c r="O64" s="839">
        <v>1.5425079174288208</v>
      </c>
      <c r="P64" s="833">
        <v>0.61668772567962049</v>
      </c>
      <c r="Q64" s="833">
        <v>0.92582019174920016</v>
      </c>
      <c r="R64" s="833">
        <v>0</v>
      </c>
      <c r="S64" s="832"/>
      <c r="T64" s="839">
        <v>1.439989497558807</v>
      </c>
      <c r="U64" s="833">
        <v>1.439989497558807</v>
      </c>
      <c r="V64" s="837"/>
      <c r="W64" s="833">
        <v>0</v>
      </c>
      <c r="X64" s="833">
        <v>0</v>
      </c>
      <c r="AB64" s="717"/>
    </row>
    <row r="65" spans="2:28">
      <c r="B65" s="764" t="s">
        <v>1032</v>
      </c>
      <c r="C65" s="839">
        <v>0.22905027932960892</v>
      </c>
      <c r="D65" s="833">
        <v>8.9385474860335198E-2</v>
      </c>
      <c r="E65" s="833">
        <v>0.13966480446927373</v>
      </c>
      <c r="F65" s="833" t="s">
        <v>452</v>
      </c>
      <c r="G65" s="837"/>
      <c r="H65" s="839" t="s">
        <v>452</v>
      </c>
      <c r="I65" s="833" t="s">
        <v>452</v>
      </c>
      <c r="J65" s="837"/>
      <c r="K65" s="833" t="s">
        <v>452</v>
      </c>
      <c r="L65" s="833" t="s">
        <v>452</v>
      </c>
      <c r="M65" s="817"/>
      <c r="N65" s="817"/>
      <c r="O65" s="839">
        <v>9.4748153343323285</v>
      </c>
      <c r="P65" s="833">
        <v>3.6974889109589579</v>
      </c>
      <c r="Q65" s="833">
        <v>5.7773264233733714</v>
      </c>
      <c r="R65" s="833" t="s">
        <v>452</v>
      </c>
      <c r="S65" s="832"/>
      <c r="T65" s="839" t="s">
        <v>452</v>
      </c>
      <c r="U65" s="833" t="s">
        <v>452</v>
      </c>
      <c r="V65" s="837"/>
      <c r="W65" s="833" t="s">
        <v>452</v>
      </c>
      <c r="X65" s="833" t="s">
        <v>452</v>
      </c>
      <c r="AB65" s="717"/>
    </row>
    <row r="66" spans="2:28">
      <c r="B66" s="764" t="s">
        <v>1033</v>
      </c>
      <c r="C66" s="839">
        <v>1.9411764705882353</v>
      </c>
      <c r="D66" s="833">
        <v>0.21764705882352942</v>
      </c>
      <c r="E66" s="833">
        <v>1.7235294117647058</v>
      </c>
      <c r="F66" s="833" t="s">
        <v>452</v>
      </c>
      <c r="G66" s="837"/>
      <c r="H66" s="839">
        <v>0.96470588235294108</v>
      </c>
      <c r="I66" s="833">
        <v>0.6705882352941176</v>
      </c>
      <c r="J66" s="837"/>
      <c r="K66" s="833">
        <v>0.29411764705882354</v>
      </c>
      <c r="L66" s="833">
        <v>0</v>
      </c>
      <c r="M66" s="817"/>
      <c r="N66" s="817"/>
      <c r="O66" s="839">
        <v>4.6616362731568666</v>
      </c>
      <c r="P66" s="833">
        <v>0.52266830941455777</v>
      </c>
      <c r="Q66" s="833">
        <v>4.1389679637423082</v>
      </c>
      <c r="R66" s="833" t="s">
        <v>452</v>
      </c>
      <c r="S66" s="832"/>
      <c r="T66" s="839">
        <v>2.3166919660537153</v>
      </c>
      <c r="U66" s="833">
        <v>1.6103834398178265</v>
      </c>
      <c r="V66" s="837"/>
      <c r="W66" s="833">
        <v>0.70630852623588891</v>
      </c>
      <c r="X66" s="833">
        <v>0</v>
      </c>
      <c r="AB66" s="717"/>
    </row>
    <row r="67" spans="2:28">
      <c r="B67" s="864" t="s">
        <v>1034</v>
      </c>
      <c r="C67" s="856">
        <v>0.22800000000000001</v>
      </c>
      <c r="D67" s="855">
        <v>3.5000000000000003E-2</v>
      </c>
      <c r="E67" s="855">
        <v>0.192</v>
      </c>
      <c r="F67" s="855">
        <v>0.09</v>
      </c>
      <c r="G67" s="859"/>
      <c r="H67" s="856">
        <v>8.1000000000000003E-2</v>
      </c>
      <c r="I67" s="855">
        <v>8.1000000000000003E-2</v>
      </c>
      <c r="J67" s="837"/>
      <c r="K67" s="833" t="s">
        <v>452</v>
      </c>
      <c r="L67" s="833" t="s">
        <v>452</v>
      </c>
      <c r="M67" s="817"/>
      <c r="N67" s="817"/>
      <c r="O67" s="856">
        <v>2.02</v>
      </c>
      <c r="P67" s="855">
        <v>0.31</v>
      </c>
      <c r="Q67" s="855">
        <v>1.71</v>
      </c>
      <c r="R67" s="855">
        <v>0.8</v>
      </c>
      <c r="S67" s="866"/>
      <c r="T67" s="856" t="s">
        <v>452</v>
      </c>
      <c r="U67" s="855" t="s">
        <v>452</v>
      </c>
      <c r="V67" s="837"/>
      <c r="W67" s="833" t="s">
        <v>452</v>
      </c>
      <c r="X67" s="833" t="s">
        <v>452</v>
      </c>
      <c r="AB67" s="717"/>
    </row>
    <row r="68" spans="2:28">
      <c r="B68" s="764" t="s">
        <v>26</v>
      </c>
      <c r="C68" s="839">
        <v>1.9680851063829787</v>
      </c>
      <c r="D68" s="833">
        <v>0.47872340425531912</v>
      </c>
      <c r="E68" s="833">
        <v>1.4893617021276597</v>
      </c>
      <c r="F68" s="833">
        <v>0</v>
      </c>
      <c r="G68" s="837"/>
      <c r="H68" s="839">
        <v>0.26595744680851063</v>
      </c>
      <c r="I68" s="833">
        <v>0</v>
      </c>
      <c r="J68" s="837"/>
      <c r="K68" s="833">
        <v>0.26595744680851063</v>
      </c>
      <c r="L68" s="833">
        <v>0</v>
      </c>
      <c r="M68" s="817"/>
      <c r="N68" s="817"/>
      <c r="O68" s="839">
        <v>5.6809916761716019</v>
      </c>
      <c r="P68" s="833">
        <v>1.3818628401498489</v>
      </c>
      <c r="Q68" s="833">
        <v>4.2991288360217528</v>
      </c>
      <c r="R68" s="833">
        <v>0</v>
      </c>
      <c r="S68" s="832"/>
      <c r="T68" s="839">
        <v>0.76770157786102733</v>
      </c>
      <c r="U68" s="833">
        <v>0</v>
      </c>
      <c r="V68" s="837"/>
      <c r="W68" s="833">
        <v>0.76770157786102733</v>
      </c>
      <c r="X68" s="833">
        <v>0</v>
      </c>
      <c r="AB68" s="717"/>
    </row>
    <row r="69" spans="2:28">
      <c r="B69" s="764" t="s">
        <v>1035</v>
      </c>
      <c r="C69" s="839">
        <v>8.5000000000000006E-2</v>
      </c>
      <c r="D69" s="833">
        <v>0.02</v>
      </c>
      <c r="E69" s="833">
        <v>6.5000000000000002E-2</v>
      </c>
      <c r="F69" s="833">
        <v>6.5000000000000002E-2</v>
      </c>
      <c r="G69" s="837"/>
      <c r="H69" s="839">
        <v>0.14000000000000001</v>
      </c>
      <c r="I69" s="833">
        <v>0.04</v>
      </c>
      <c r="J69" s="837"/>
      <c r="K69" s="833">
        <v>0.1</v>
      </c>
      <c r="L69" s="833" t="s">
        <v>452</v>
      </c>
      <c r="M69" s="817"/>
      <c r="N69" s="817"/>
      <c r="O69" s="839">
        <v>1.8358026431863639</v>
      </c>
      <c r="P69" s="833">
        <v>0.4319535631026738</v>
      </c>
      <c r="Q69" s="833">
        <v>1.40384908008369</v>
      </c>
      <c r="R69" s="833">
        <v>1.40384908008369</v>
      </c>
      <c r="S69" s="832"/>
      <c r="T69" s="839">
        <v>3.023674941718717</v>
      </c>
      <c r="U69" s="833">
        <v>0.8639071262053476</v>
      </c>
      <c r="V69" s="837"/>
      <c r="W69" s="833">
        <v>2.1597678155133693</v>
      </c>
      <c r="X69" s="833" t="s">
        <v>452</v>
      </c>
      <c r="AB69" s="717"/>
    </row>
    <row r="70" spans="2:28" s="514" customFormat="1">
      <c r="B70" s="864" t="s">
        <v>1036</v>
      </c>
      <c r="C70" s="856" t="s">
        <v>452</v>
      </c>
      <c r="D70" s="855" t="s">
        <v>84</v>
      </c>
      <c r="E70" s="855" t="s">
        <v>452</v>
      </c>
      <c r="F70" s="855" t="s">
        <v>452</v>
      </c>
      <c r="G70" s="859"/>
      <c r="H70" s="856" t="s">
        <v>452</v>
      </c>
      <c r="I70" s="855" t="s">
        <v>452</v>
      </c>
      <c r="J70" s="859"/>
      <c r="K70" s="855" t="s">
        <v>452</v>
      </c>
      <c r="L70" s="855" t="s">
        <v>452</v>
      </c>
      <c r="M70" s="860"/>
      <c r="N70" s="860"/>
      <c r="O70" s="856" t="s">
        <v>452</v>
      </c>
      <c r="P70" s="855" t="s">
        <v>84</v>
      </c>
      <c r="Q70" s="855" t="s">
        <v>452</v>
      </c>
      <c r="R70" s="855" t="s">
        <v>452</v>
      </c>
      <c r="S70" s="866"/>
      <c r="T70" s="856" t="s">
        <v>452</v>
      </c>
      <c r="U70" s="855" t="s">
        <v>452</v>
      </c>
      <c r="V70" s="859"/>
      <c r="W70" s="855" t="s">
        <v>452</v>
      </c>
      <c r="X70" s="855" t="s">
        <v>452</v>
      </c>
      <c r="AB70" s="865"/>
    </row>
    <row r="71" spans="2:28">
      <c r="B71" s="764" t="s">
        <v>1037</v>
      </c>
      <c r="C71" s="839">
        <v>0.01</v>
      </c>
      <c r="D71" s="833" t="s">
        <v>452</v>
      </c>
      <c r="E71" s="833" t="s">
        <v>452</v>
      </c>
      <c r="F71" s="833" t="s">
        <v>452</v>
      </c>
      <c r="G71" s="837"/>
      <c r="H71" s="839">
        <v>5.5E-2</v>
      </c>
      <c r="I71" s="833">
        <v>5.5E-2</v>
      </c>
      <c r="J71" s="837"/>
      <c r="K71" s="833" t="s">
        <v>452</v>
      </c>
      <c r="L71" s="833" t="s">
        <v>452</v>
      </c>
      <c r="M71" s="817"/>
      <c r="N71" s="817"/>
      <c r="O71" s="839">
        <v>0.66157188200799411</v>
      </c>
      <c r="P71" s="833" t="s">
        <v>452</v>
      </c>
      <c r="Q71" s="833" t="s">
        <v>452</v>
      </c>
      <c r="R71" s="833" t="s">
        <v>452</v>
      </c>
      <c r="S71" s="832"/>
      <c r="T71" s="839">
        <v>3.6386453510439676</v>
      </c>
      <c r="U71" s="833">
        <v>3.6386453510439676</v>
      </c>
      <c r="V71" s="837"/>
      <c r="W71" s="833" t="s">
        <v>452</v>
      </c>
      <c r="X71" s="833" t="s">
        <v>452</v>
      </c>
      <c r="AB71" s="717"/>
    </row>
    <row r="72" spans="2:28">
      <c r="B72" s="764" t="s">
        <v>1038</v>
      </c>
      <c r="C72" s="839">
        <v>1.1647230320699709</v>
      </c>
      <c r="D72" s="833">
        <v>0.49708454810495628</v>
      </c>
      <c r="E72" s="833">
        <v>0.66763848396501457</v>
      </c>
      <c r="F72" s="833">
        <v>0</v>
      </c>
      <c r="G72" s="837"/>
      <c r="H72" s="839">
        <v>5.0728862973760931</v>
      </c>
      <c r="I72" s="833">
        <v>0.23323615160349853</v>
      </c>
      <c r="J72" s="837"/>
      <c r="K72" s="833">
        <v>3.8192419825072883</v>
      </c>
      <c r="L72" s="833">
        <v>1.0204081632653061</v>
      </c>
      <c r="M72" s="817"/>
      <c r="N72" s="817"/>
      <c r="O72" s="839">
        <v>2.9888476663027164</v>
      </c>
      <c r="P72" s="833">
        <v>1.2755908062693695</v>
      </c>
      <c r="Q72" s="833">
        <v>1.7132568600333469</v>
      </c>
      <c r="R72" s="833">
        <v>0</v>
      </c>
      <c r="S72" s="832"/>
      <c r="T72" s="839">
        <v>13.017759547851632</v>
      </c>
      <c r="U72" s="833">
        <v>0.59851768036099451</v>
      </c>
      <c r="V72" s="837"/>
      <c r="W72" s="833">
        <v>9.8007270159112849</v>
      </c>
      <c r="X72" s="833">
        <v>2.6185148515793513</v>
      </c>
      <c r="AB72" s="717"/>
    </row>
    <row r="73" spans="2:28">
      <c r="B73" s="764" t="s">
        <v>1039</v>
      </c>
      <c r="C73" s="839">
        <v>0.96054163822223182</v>
      </c>
      <c r="D73" s="833" t="s">
        <v>452</v>
      </c>
      <c r="E73" s="833" t="s">
        <v>452</v>
      </c>
      <c r="F73" s="833" t="s">
        <v>452</v>
      </c>
      <c r="G73" s="837"/>
      <c r="H73" s="839" t="s">
        <v>452</v>
      </c>
      <c r="I73" s="833" t="s">
        <v>452</v>
      </c>
      <c r="J73" s="837"/>
      <c r="K73" s="833" t="s">
        <v>452</v>
      </c>
      <c r="L73" s="833" t="s">
        <v>452</v>
      </c>
      <c r="M73" s="817"/>
      <c r="N73" s="817"/>
      <c r="O73" s="839">
        <v>5.2732233278483216</v>
      </c>
      <c r="P73" s="833" t="s">
        <v>452</v>
      </c>
      <c r="Q73" s="833" t="s">
        <v>452</v>
      </c>
      <c r="R73" s="833" t="s">
        <v>452</v>
      </c>
      <c r="S73" s="832"/>
      <c r="T73" s="839" t="s">
        <v>452</v>
      </c>
      <c r="U73" s="833" t="s">
        <v>452</v>
      </c>
      <c r="V73" s="837"/>
      <c r="W73" s="833" t="s">
        <v>452</v>
      </c>
      <c r="X73" s="833" t="s">
        <v>452</v>
      </c>
      <c r="AB73" s="717"/>
    </row>
    <row r="74" spans="2:28">
      <c r="B74" s="764" t="s">
        <v>1040</v>
      </c>
      <c r="C74" s="839">
        <v>0.17676267382788977</v>
      </c>
      <c r="D74" s="833" t="s">
        <v>452</v>
      </c>
      <c r="E74" s="833" t="s">
        <v>452</v>
      </c>
      <c r="F74" s="833" t="s">
        <v>452</v>
      </c>
      <c r="G74" s="837"/>
      <c r="H74" s="839" t="s">
        <v>452</v>
      </c>
      <c r="I74" s="833" t="s">
        <v>452</v>
      </c>
      <c r="J74" s="837"/>
      <c r="K74" s="833" t="s">
        <v>452</v>
      </c>
      <c r="L74" s="833" t="s">
        <v>452</v>
      </c>
      <c r="M74" s="817"/>
      <c r="N74" s="817"/>
      <c r="O74" s="839">
        <v>1.120607166917954</v>
      </c>
      <c r="P74" s="833" t="s">
        <v>452</v>
      </c>
      <c r="Q74" s="833" t="s">
        <v>452</v>
      </c>
      <c r="R74" s="833" t="s">
        <v>452</v>
      </c>
      <c r="S74" s="832"/>
      <c r="T74" s="839" t="s">
        <v>452</v>
      </c>
      <c r="U74" s="833" t="s">
        <v>452</v>
      </c>
      <c r="V74" s="837"/>
      <c r="W74" s="833" t="s">
        <v>452</v>
      </c>
      <c r="X74" s="833" t="s">
        <v>452</v>
      </c>
      <c r="AB74" s="717"/>
    </row>
    <row r="75" spans="2:28">
      <c r="B75" s="764" t="s">
        <v>1041</v>
      </c>
      <c r="C75" s="839">
        <v>0.14333727581004346</v>
      </c>
      <c r="D75" s="833" t="s">
        <v>452</v>
      </c>
      <c r="E75" s="833" t="s">
        <v>452</v>
      </c>
      <c r="F75" s="833" t="s">
        <v>452</v>
      </c>
      <c r="G75" s="837"/>
      <c r="H75" s="839" t="s">
        <v>452</v>
      </c>
      <c r="I75" s="833" t="s">
        <v>452</v>
      </c>
      <c r="J75" s="837"/>
      <c r="K75" s="833" t="s">
        <v>452</v>
      </c>
      <c r="L75" s="833" t="s">
        <v>452</v>
      </c>
      <c r="M75" s="817"/>
      <c r="N75" s="817"/>
      <c r="O75" s="839">
        <v>1.3627058392949036</v>
      </c>
      <c r="P75" s="833" t="s">
        <v>452</v>
      </c>
      <c r="Q75" s="833" t="s">
        <v>452</v>
      </c>
      <c r="R75" s="833" t="s">
        <v>452</v>
      </c>
      <c r="S75" s="832"/>
      <c r="T75" s="839" t="s">
        <v>452</v>
      </c>
      <c r="U75" s="833" t="s">
        <v>452</v>
      </c>
      <c r="V75" s="837"/>
      <c r="W75" s="833" t="s">
        <v>452</v>
      </c>
      <c r="X75" s="833" t="s">
        <v>452</v>
      </c>
      <c r="AB75" s="717"/>
    </row>
    <row r="76" spans="2:28">
      <c r="B76" s="764" t="s">
        <v>27</v>
      </c>
      <c r="C76" s="840">
        <f>IF(ISNUMBER(INDEX(Database!$G$6:$G$197, MATCH($B76&amp;"USD bn", Database!$AD$6:$AD$197, 0))), INDEX(Database!$G$6:$G$197, MATCH($B76&amp;"USD bn", Database!$AD$6:$AD$197, 0)), "")</f>
        <v>3.6598885495522917</v>
      </c>
      <c r="D76" s="837">
        <f>IF(ISNUMBER(INDEX(Database!$H$6:$H$197, MATCH($B76&amp;"USD bn", Database!$AD$6:$AD$197, 0))), INDEX(Database!$H$6:$H$197, MATCH($B76&amp;"USD bn", Database!$AD$6:$AD$197, 0)), "")</f>
        <v>0.9949154937797603</v>
      </c>
      <c r="E76" s="837">
        <f>IF(ISNUMBER(INDEX(Database!$J$6:$J$197, MATCH($B76&amp;"USD bn", Database!$AD$6:$AD$197, 0))), INDEX(Database!$J$6:$J$197, MATCH($B76&amp;"USD bn", Database!$AD$6:$AD$197, 0)), "")</f>
        <v>2.6649730557725313</v>
      </c>
      <c r="F76" s="833">
        <f>IF(ISNUMBER(INDEX(Database!$L$6:$L$197, MATCH($B76&amp;"USD bn", Database!$AD$6:$AD$197, 0))), INDEX(Database!$L$6:$L$197, MATCH($B76&amp;"USD bn", Database!$AD$6:$AD$197, 0)), "")</f>
        <v>0.35011688930666052</v>
      </c>
      <c r="G76" s="837"/>
      <c r="H76" s="840">
        <f>IF(ISNUMBER(INDEX(Database!$P$6:$P$197, MATCH($B76&amp;"USD bn", Database!$AD$6:$AD$197, 0))), INDEX(Database!$P$6:$P$197, MATCH($B76&amp;"USD bn", Database!$AD$6:$AD$197, 0)), "")</f>
        <v>2.6970671039589753</v>
      </c>
      <c r="I76" s="837">
        <f>IF(ISNUMBER(INDEX(Database!$Q$6:$Q$197, MATCH($B76&amp;"USD bn", Database!$AD$6:$AD$197, 0))), INDEX(Database!$Q$6:$Q$197, MATCH($B76&amp;"USD bn", Database!$AD$6:$AD$197, 0)), "")</f>
        <v>0.94648265742567239</v>
      </c>
      <c r="J76" s="837"/>
      <c r="K76" s="837" t="str">
        <f>IF(ISNUMBER(INDEX(Database!$U$6:$U$197, MATCH($B76&amp;"USD bn", Database!$AD$6:$AD$197, 0))), INDEX(Database!$U$6:$U$197, MATCH($B76&amp;"USD bn", Database!$AD$6:$AD$197, 0)), "")</f>
        <v/>
      </c>
      <c r="L76" s="837">
        <f>IF(ISNUMBER(INDEX(Database!$W$6:$W$197, MATCH($B76&amp;"USD bn", Database!$AD$6:$AD$197, 0))), INDEX(Database!$W$6:$W$197, MATCH($B76&amp;"USD bn", Database!$AD$6:$AD$197, 0)), "")</f>
        <v>1.7505844465333027</v>
      </c>
      <c r="M76" s="817"/>
      <c r="N76" s="817"/>
      <c r="O76" s="835">
        <f>IF(ISNUMBER(INDEX(Database!$G$6:$G$197, MATCH($B76&amp;"% GDP", Database!$AD$6:$AD$197, 0))), INDEX(Database!$G$6:$G$197, MATCH($B76&amp;"% GDP", Database!$AD$6:$AD$197, 0)), "")</f>
        <v>5.2881375195675631</v>
      </c>
      <c r="P76" s="836">
        <f>IF(ISNUMBER(INDEX(Database!$H$6:$H$197, MATCH($B76&amp;"% GDP", Database!$AD$6:$AD$197, 0))), INDEX(Database!$H$6:$H$197, MATCH($B76&amp;"% GDP", Database!$AD$6:$AD$197, 0)), "")</f>
        <v>1.4375437612982611</v>
      </c>
      <c r="Q76" s="836">
        <f>IF(ISNUMBER(INDEX(Database!$J$6:$J$197, MATCH($B76&amp;"% GDP", Database!$AD$6:$AD$197, 0))), INDEX(Database!$J$6:$J$197, MATCH($B76&amp;"% GDP", Database!$AD$6:$AD$197, 0)), "")</f>
        <v>3.8505937582693015</v>
      </c>
      <c r="R76" s="836">
        <f>IF(ISNUMBER(INDEX(Database!$L$6:$L$197, MATCH($B76&amp;"% GDP", Database!$AD$6:$AD$197, 0))), INDEX(Database!$L$6:$L$197, MATCH($B76&amp;"% GDP", Database!$AD$6:$AD$197, 0)), "")</f>
        <v>0.50588050250965211</v>
      </c>
      <c r="S76" s="836"/>
      <c r="T76" s="835">
        <f>IF(ISNUMBER(INDEX(Database!$P$6:$P$197, MATCH($B76&amp;"% GDP", Database!$AD$6:$AD$197, 0))), INDEX(Database!$P$6:$P$197, MATCH($B76&amp;"% GDP", Database!$AD$6:$AD$197, 0)), "")</f>
        <v>3.8969661376660198</v>
      </c>
      <c r="U76" s="836">
        <f>IF(ISNUMBER(INDEX(Database!$Q$6:$Q$197, MATCH($B76&amp;"% GDP", Database!$AD$6:$AD$197, 0))), INDEX(Database!$Q$6:$Q$197, MATCH($B76&amp;"% GDP", Database!$AD$6:$AD$197, 0)), "")</f>
        <v>1.3675636251177596</v>
      </c>
      <c r="V76" s="836"/>
      <c r="W76" s="836" t="str">
        <f>IF(ISNUMBER(INDEX(Database!$U$6:$U$197, MATCH($B76&amp;"% GDP", Database!$AD$6:$AD$197, 0))), INDEX(Database!$U$6:$U$197, MATCH($B76&amp;"% GDP", Database!$AD$6:$AD$197, 0)), "")</f>
        <v/>
      </c>
      <c r="X76" s="836">
        <f>IF(ISNUMBER(INDEX(Database!$W$6:$W$197, MATCH($B76&amp;"% GDP", Database!$AD$6:$AD$197, 0))), INDEX(Database!$W$6:$W$197, MATCH($B76&amp;"% GDP", Database!$AD$6:$AD$197, 0)), "")</f>
        <v>2.5294025125482604</v>
      </c>
      <c r="AB76" s="562"/>
    </row>
    <row r="77" spans="2:28">
      <c r="B77" s="764" t="s">
        <v>1042</v>
      </c>
      <c r="C77" s="839">
        <v>2.9080253433243067E-2</v>
      </c>
      <c r="D77" s="833">
        <v>5.0839603904271101E-3</v>
      </c>
      <c r="E77" s="833">
        <v>2.3996293042815958E-2</v>
      </c>
      <c r="F77" s="833" t="s">
        <v>452</v>
      </c>
      <c r="G77" s="837"/>
      <c r="H77" s="839">
        <v>3.0503762342562659E-2</v>
      </c>
      <c r="I77" s="833">
        <v>0</v>
      </c>
      <c r="J77" s="837"/>
      <c r="K77" s="833">
        <v>3.0503762342562659E-2</v>
      </c>
      <c r="L77" s="833" t="s">
        <v>452</v>
      </c>
      <c r="M77" s="817"/>
      <c r="N77" s="817"/>
      <c r="O77" s="839">
        <v>1.5551384534805532</v>
      </c>
      <c r="P77" s="833">
        <v>0.27187735200708979</v>
      </c>
      <c r="Q77" s="833">
        <v>1.2832611014734636</v>
      </c>
      <c r="R77" s="833" t="s">
        <v>452</v>
      </c>
      <c r="S77" s="832"/>
      <c r="T77" s="839">
        <v>1.6312641120425384</v>
      </c>
      <c r="U77" s="833">
        <v>0</v>
      </c>
      <c r="V77" s="837"/>
      <c r="W77" s="833">
        <v>1.6312641120425384</v>
      </c>
      <c r="X77" s="833" t="s">
        <v>452</v>
      </c>
      <c r="AB77" s="717"/>
    </row>
    <row r="78" spans="2:28">
      <c r="B78" s="764" t="s">
        <v>42</v>
      </c>
      <c r="C78" s="840">
        <f>IF(ISNUMBER(INDEX(Database!$G$6:$G$197, MATCH($B78&amp;"USD bn", Database!$AD$6:$AD$197, 0))), INDEX(Database!$G$6:$G$197, MATCH($B78&amp;"USD bn", Database!$AD$6:$AD$197, 0)), "")</f>
        <v>32.063993334728984</v>
      </c>
      <c r="D78" s="837">
        <f>IF(ISNUMBER(INDEX(Database!$H$6:$H$197, MATCH($B78&amp;"USD bn", Database!$AD$6:$AD$197, 0))), INDEX(Database!$H$6:$H$197, MATCH($B78&amp;"USD bn", Database!$AD$6:$AD$197, 0)), "")</f>
        <v>1.5165334699489497</v>
      </c>
      <c r="E78" s="837">
        <f>IF(ISNUMBER(INDEX(Database!$J$6:$J$197, MATCH($B78&amp;"USD bn", Database!$AD$6:$AD$197, 0))), INDEX(Database!$J$6:$J$197, MATCH($B78&amp;"USD bn", Database!$AD$6:$AD$197, 0)), "")</f>
        <v>30.547459864780031</v>
      </c>
      <c r="F78" s="833">
        <f>IF(ISNUMBER(INDEX(Database!$L$6:$L$197, MATCH($B78&amp;"USD bn", Database!$AD$6:$AD$197, 0))), INDEX(Database!$L$6:$L$197, MATCH($B78&amp;"USD bn", Database!$AD$6:$AD$197, 0)), "")</f>
        <v>4.0446076631681755</v>
      </c>
      <c r="G78" s="837"/>
      <c r="H78" s="840">
        <f>IF(ISNUMBER(INDEX(Database!$P$6:$P$197, MATCH($B78&amp;"USD bn", Database!$AD$6:$AD$197, 0))), INDEX(Database!$P$6:$P$197, MATCH($B78&amp;"USD bn", Database!$AD$6:$AD$197, 0)), "")</f>
        <v>6.3189963380984064</v>
      </c>
      <c r="I78" s="837">
        <f>IF(ISNUMBER(INDEX(Database!$Q$6:$Q$197, MATCH($B78&amp;"USD bn", Database!$AD$6:$AD$197, 0))), INDEX(Database!$Q$6:$Q$197, MATCH($B78&amp;"USD bn", Database!$AD$6:$AD$197, 0)), "")</f>
        <v>3.2859281358385646</v>
      </c>
      <c r="J78" s="837"/>
      <c r="K78" s="837" t="str">
        <f>IF(ISNUMBER(INDEX(Database!$U$6:$U$197, MATCH($B78&amp;"USD bn", Database!$AD$6:$AD$197, 0))), INDEX(Database!$U$6:$U$197, MATCH($B78&amp;"USD bn", Database!$AD$6:$AD$197, 0)), "")</f>
        <v/>
      </c>
      <c r="L78" s="837">
        <f>IF(ISNUMBER(INDEX(Database!$W$6:$W$197, MATCH($B78&amp;"USD bn", Database!$AD$6:$AD$197, 0))), INDEX(Database!$W$6:$W$197, MATCH($B78&amp;"USD bn", Database!$AD$6:$AD$197, 0)), "")</f>
        <v>3.0330682022598419</v>
      </c>
      <c r="M78" s="817"/>
      <c r="N78" s="817"/>
      <c r="O78" s="835">
        <f>IF(ISNUMBER(INDEX(Database!$G$6:$G$197, MATCH($B78&amp;"% GDP", Database!$AD$6:$AD$197, 0))), INDEX(Database!$G$6:$G$197, MATCH($B78&amp;"% GDP", Database!$AD$6:$AD$197, 0)), "")</f>
        <v>12.682470249573225</v>
      </c>
      <c r="P78" s="836">
        <f>IF(ISNUMBER(INDEX(Database!$H$6:$H$197, MATCH($B78&amp;"% GDP", Database!$AD$6:$AD$197, 0))), INDEX(Database!$H$6:$H$197, MATCH($B78&amp;"% GDP", Database!$AD$6:$AD$197, 0)), "")</f>
        <v>0.59984389387573989</v>
      </c>
      <c r="Q78" s="836">
        <f>IF(ISNUMBER(INDEX(Database!$J$6:$J$197, MATCH($B78&amp;"% GDP", Database!$AD$6:$AD$197, 0))), INDEX(Database!$J$6:$J$197, MATCH($B78&amp;"% GDP", Database!$AD$6:$AD$197, 0)), "")</f>
        <v>12.082626355697483</v>
      </c>
      <c r="R78" s="836">
        <f>IF(ISNUMBER(INDEX(Database!$L$6:$L$197, MATCH($B78&amp;"% GDP", Database!$AD$6:$AD$197, 0))), INDEX(Database!$L$6:$L$197, MATCH($B78&amp;"% GDP", Database!$AD$6:$AD$197, 0)), "")</f>
        <v>1.5997887669146695</v>
      </c>
      <c r="S78" s="836"/>
      <c r="T78" s="835">
        <f>IF(ISNUMBER(INDEX(Database!$P$6:$P$197, MATCH($B78&amp;"% GDP", Database!$AD$6:$AD$197, 0))), INDEX(Database!$P$6:$P$197, MATCH($B78&amp;"% GDP", Database!$AD$6:$AD$197, 0)), "")</f>
        <v>2.4993918327164151</v>
      </c>
      <c r="U78" s="836">
        <f>IF(ISNUMBER(INDEX(Database!$Q$6:$Q$197, MATCH($B78&amp;"% GDP", Database!$AD$6:$AD$197, 0))), INDEX(Database!$Q$6:$Q$197, MATCH($B78&amp;"% GDP", Database!$AD$6:$AD$197, 0)), "")</f>
        <v>1.2997035456550827</v>
      </c>
      <c r="V78" s="836"/>
      <c r="W78" s="836" t="str">
        <f>IF(ISNUMBER(INDEX(Database!$U$6:$U$197, MATCH($B78&amp;"% GDP", Database!$AD$6:$AD$197, 0))), INDEX(Database!$U$6:$U$197, MATCH($B78&amp;"% GDP", Database!$AD$6:$AD$197, 0)), "")</f>
        <v/>
      </c>
      <c r="X78" s="836">
        <f>IF(ISNUMBER(INDEX(Database!$W$6:$W$197, MATCH($B78&amp;"% GDP", Database!$AD$6:$AD$197, 0))), INDEX(Database!$W$6:$W$197, MATCH($B78&amp;"% GDP", Database!$AD$6:$AD$197, 0)), "")</f>
        <v>1.1996882870613323</v>
      </c>
      <c r="AB78" s="562"/>
    </row>
    <row r="79" spans="2:28">
      <c r="B79" s="764" t="s">
        <v>34</v>
      </c>
      <c r="C79" s="840">
        <f>IF(ISNUMBER(INDEX(Database!$G$6:$G$197, MATCH($B79&amp;"USD bn", Database!$AD$6:$AD$197, 0))), INDEX(Database!$G$6:$G$197, MATCH($B79&amp;"USD bn", Database!$AD$6:$AD$197, 0)), "")</f>
        <v>12.537379304867349</v>
      </c>
      <c r="D79" s="837">
        <f>IF(ISNUMBER(INDEX(Database!$H$6:$H$197, MATCH($B79&amp;"USD bn", Database!$AD$6:$AD$197, 0))), INDEX(Database!$H$6:$H$197, MATCH($B79&amp;"USD bn", Database!$AD$6:$AD$197, 0)), "")</f>
        <v>3.8751505833461795</v>
      </c>
      <c r="E79" s="837">
        <f>IF(ISNUMBER(INDEX(Database!$J$6:$J$197, MATCH($B79&amp;"USD bn", Database!$AD$6:$AD$197, 0))), INDEX(Database!$J$6:$J$197, MATCH($B79&amp;"USD bn", Database!$AD$6:$AD$197, 0)), "")</f>
        <v>8.6622287215211689</v>
      </c>
      <c r="F79" s="833">
        <f>IF(ISNUMBER(INDEX(Database!$L$6:$L$197, MATCH($B79&amp;"USD bn", Database!$AD$6:$AD$197, 0))), INDEX(Database!$L$6:$L$197, MATCH($B79&amp;"USD bn", Database!$AD$6:$AD$197, 0)), "")</f>
        <v>0.4819569618750838</v>
      </c>
      <c r="G79" s="837"/>
      <c r="H79" s="840">
        <f>IF(ISNUMBER(INDEX(Database!$P$6:$P$197, MATCH($B79&amp;"USD bn", Database!$AD$6:$AD$197, 0))), INDEX(Database!$P$6:$P$197, MATCH($B79&amp;"USD bn", Database!$AD$6:$AD$197, 0)), "")</f>
        <v>14.618458635750434</v>
      </c>
      <c r="I79" s="837">
        <f>IF(ISNUMBER(INDEX(Database!$Q$6:$Q$197, MATCH($B79&amp;"USD bn", Database!$AD$6:$AD$197, 0))), INDEX(Database!$Q$6:$Q$197, MATCH($B79&amp;"USD bn", Database!$AD$6:$AD$197, 0)), "")</f>
        <v>7.6937118380227556</v>
      </c>
      <c r="J79" s="837"/>
      <c r="K79" s="837">
        <f>IF(ISNUMBER(INDEX(Database!$U$6:$U$197, MATCH($B79&amp;"USD bn", Database!$AD$6:$AD$197, 0))), INDEX(Database!$U$6:$U$197, MATCH($B79&amp;"USD bn", Database!$AD$6:$AD$197, 0)), "")</f>
        <v>6.9247467977276784</v>
      </c>
      <c r="L79" s="837" t="str">
        <f>IF(ISNUMBER(INDEX(Database!$W$6:$W$197, MATCH($B79&amp;"USD bn", Database!$AD$6:$AD$197, 0))), INDEX(Database!$W$6:$W$197, MATCH($B79&amp;"USD bn", Database!$AD$6:$AD$197, 0)), "")</f>
        <v/>
      </c>
      <c r="M79" s="817"/>
      <c r="N79" s="817"/>
      <c r="O79" s="835">
        <f>IF(ISNUMBER(INDEX(Database!$G$6:$G$197, MATCH($B79&amp;"% GDP", Database!$AD$6:$AD$197, 0))), INDEX(Database!$G$6:$G$197, MATCH($B79&amp;"% GDP", Database!$AD$6:$AD$197, 0)), "")</f>
        <v>4.6169047873067024</v>
      </c>
      <c r="P79" s="836">
        <f>IF(ISNUMBER(INDEX(Database!$H$6:$H$197, MATCH($B79&amp;"% GDP", Database!$AD$6:$AD$197, 0))), INDEX(Database!$H$6:$H$197, MATCH($B79&amp;"% GDP", Database!$AD$6:$AD$197, 0)), "")</f>
        <v>1.4270287948327041</v>
      </c>
      <c r="Q79" s="836">
        <f>IF(ISNUMBER(INDEX(Database!$J$6:$J$197, MATCH($B79&amp;"% GDP", Database!$AD$6:$AD$197, 0))), INDEX(Database!$J$6:$J$197, MATCH($B79&amp;"% GDP", Database!$AD$6:$AD$197, 0)), "")</f>
        <v>3.1898759924739983</v>
      </c>
      <c r="R79" s="836">
        <f>IF(ISNUMBER(INDEX(Database!$L$6:$L$197, MATCH($B79&amp;"% GDP", Database!$AD$6:$AD$197, 0))), INDEX(Database!$L$6:$L$197, MATCH($B79&amp;"% GDP", Database!$AD$6:$AD$197, 0)), "")</f>
        <v>0.17748122238696293</v>
      </c>
      <c r="S79" s="836"/>
      <c r="T79" s="835">
        <f>IF(ISNUMBER(INDEX(Database!$P$6:$P$197, MATCH($B79&amp;"% GDP", Database!$AD$6:$AD$197, 0))), INDEX(Database!$P$6:$P$197, MATCH($B79&amp;"% GDP", Database!$AD$6:$AD$197, 0)), "")</f>
        <v>5.3832647172315324</v>
      </c>
      <c r="U79" s="836">
        <f>IF(ISNUMBER(INDEX(Database!$Q$6:$Q$197, MATCH($B79&amp;"% GDP", Database!$AD$6:$AD$197, 0))), INDEX(Database!$Q$6:$Q$197, MATCH($B79&amp;"% GDP", Database!$AD$6:$AD$197, 0)), "")</f>
        <v>2.8332185023177257</v>
      </c>
      <c r="V79" s="836"/>
      <c r="W79" s="836">
        <f>IF(ISNUMBER(INDEX(Database!$U$6:$U$197, MATCH($B79&amp;"% GDP", Database!$AD$6:$AD$197, 0))), INDEX(Database!$U$6:$U$197, MATCH($B79&amp;"% GDP", Database!$AD$6:$AD$197, 0)), "")</f>
        <v>2.5500462149138068</v>
      </c>
      <c r="X79" s="836" t="str">
        <f>IF(ISNUMBER(INDEX(Database!$W$6:$W$197, MATCH($B79&amp;"% GDP", Database!$AD$6:$AD$197, 0))), INDEX(Database!$W$6:$W$197, MATCH($B79&amp;"% GDP", Database!$AD$6:$AD$197, 0)), "")</f>
        <v/>
      </c>
      <c r="AB79" s="562"/>
    </row>
    <row r="80" spans="2:28">
      <c r="B80" s="864" t="s">
        <v>1043</v>
      </c>
      <c r="C80" s="839">
        <v>0.85922642158120055</v>
      </c>
      <c r="D80" s="833">
        <v>0.19828302036489243</v>
      </c>
      <c r="E80" s="833">
        <v>0.66094340121630812</v>
      </c>
      <c r="F80" s="855">
        <v>0.4</v>
      </c>
      <c r="G80" s="837"/>
      <c r="H80" s="839" t="s">
        <v>452</v>
      </c>
      <c r="I80" s="833" t="s">
        <v>452</v>
      </c>
      <c r="J80" s="837"/>
      <c r="K80" s="833" t="s">
        <v>452</v>
      </c>
      <c r="L80" s="833" t="s">
        <v>452</v>
      </c>
      <c r="M80" s="817"/>
      <c r="N80" s="817"/>
      <c r="O80" s="839">
        <v>1.429352585851031</v>
      </c>
      <c r="P80" s="833">
        <v>0.32985059673485329</v>
      </c>
      <c r="Q80" s="833">
        <v>1.0995019891161777</v>
      </c>
      <c r="R80" s="855">
        <v>0.68</v>
      </c>
      <c r="S80" s="832"/>
      <c r="T80" s="839" t="s">
        <v>452</v>
      </c>
      <c r="U80" s="833" t="s">
        <v>452</v>
      </c>
      <c r="V80" s="837"/>
      <c r="W80" s="833" t="s">
        <v>452</v>
      </c>
      <c r="X80" s="833" t="s">
        <v>452</v>
      </c>
      <c r="AB80" s="717"/>
    </row>
    <row r="81" spans="2:28">
      <c r="B81" s="764" t="s">
        <v>1044</v>
      </c>
      <c r="C81" s="839">
        <v>2.8733343096446338</v>
      </c>
      <c r="D81" s="833">
        <v>7.5614060780121936E-2</v>
      </c>
      <c r="E81" s="833">
        <v>2.7977202488645121</v>
      </c>
      <c r="F81" s="833" t="s">
        <v>452</v>
      </c>
      <c r="G81" s="837"/>
      <c r="H81" s="839" t="s">
        <v>452</v>
      </c>
      <c r="I81" s="833" t="s">
        <v>452</v>
      </c>
      <c r="J81" s="837"/>
      <c r="K81" s="833" t="s">
        <v>452</v>
      </c>
      <c r="L81" s="833" t="s">
        <v>452</v>
      </c>
      <c r="M81" s="817"/>
      <c r="N81" s="817"/>
      <c r="O81" s="839">
        <v>5.134343921471558</v>
      </c>
      <c r="P81" s="833">
        <v>0.13511431372293575</v>
      </c>
      <c r="Q81" s="833">
        <v>4.9992296077486227</v>
      </c>
      <c r="R81" s="833" t="s">
        <v>452</v>
      </c>
      <c r="S81" s="832"/>
      <c r="T81" s="839" t="s">
        <v>452</v>
      </c>
      <c r="U81" s="833" t="s">
        <v>452</v>
      </c>
      <c r="V81" s="837"/>
      <c r="W81" s="833" t="s">
        <v>452</v>
      </c>
      <c r="X81" s="833" t="s">
        <v>452</v>
      </c>
      <c r="AB81" s="717"/>
    </row>
    <row r="82" spans="2:28">
      <c r="B82" s="764" t="s">
        <v>1045</v>
      </c>
      <c r="C82" s="839">
        <v>0.29259259259259257</v>
      </c>
      <c r="D82" s="833">
        <v>0.2185185185185185</v>
      </c>
      <c r="E82" s="833">
        <v>7.4074074074074098E-2</v>
      </c>
      <c r="F82" s="833" t="s">
        <v>452</v>
      </c>
      <c r="G82" s="837"/>
      <c r="H82" s="839">
        <v>6.6666666666666666E-2</v>
      </c>
      <c r="I82" s="833">
        <v>6.6666666666666666E-2</v>
      </c>
      <c r="J82" s="837"/>
      <c r="K82" s="833" t="s">
        <v>452</v>
      </c>
      <c r="L82" s="833" t="s">
        <v>452</v>
      </c>
      <c r="M82" s="817"/>
      <c r="N82" s="817"/>
      <c r="O82" s="839">
        <v>53.656449301447374</v>
      </c>
      <c r="P82" s="833">
        <v>40.072538085891068</v>
      </c>
      <c r="Q82" s="833">
        <v>13.583911215556299</v>
      </c>
      <c r="R82" s="833" t="s">
        <v>452</v>
      </c>
      <c r="S82" s="832"/>
      <c r="T82" s="839">
        <v>12.225520094000666</v>
      </c>
      <c r="U82" s="833">
        <v>12.225520094000666</v>
      </c>
      <c r="V82" s="837"/>
      <c r="W82" s="833" t="s">
        <v>452</v>
      </c>
      <c r="X82" s="833" t="s">
        <v>452</v>
      </c>
      <c r="AB82" s="717"/>
    </row>
    <row r="83" spans="2:28">
      <c r="B83" s="764" t="s">
        <v>1046</v>
      </c>
      <c r="C83" s="839">
        <v>0.68778700166240891</v>
      </c>
      <c r="D83" s="833">
        <v>0.21162676974227967</v>
      </c>
      <c r="E83" s="833">
        <v>0.4761602319201293</v>
      </c>
      <c r="F83" s="833" t="s">
        <v>452</v>
      </c>
      <c r="G83" s="837"/>
      <c r="H83" s="839" t="s">
        <v>452</v>
      </c>
      <c r="I83" s="833" t="s">
        <v>452</v>
      </c>
      <c r="J83" s="837"/>
      <c r="K83" s="833" t="s">
        <v>452</v>
      </c>
      <c r="L83" s="833" t="s">
        <v>452</v>
      </c>
      <c r="M83" s="817"/>
      <c r="N83" s="817"/>
      <c r="O83" s="839">
        <v>0.90555267104641524</v>
      </c>
      <c r="P83" s="833">
        <v>0.27863159109120467</v>
      </c>
      <c r="Q83" s="833">
        <v>0.62692107995521063</v>
      </c>
      <c r="R83" s="833" t="s">
        <v>452</v>
      </c>
      <c r="S83" s="832"/>
      <c r="T83" s="839" t="s">
        <v>452</v>
      </c>
      <c r="U83" s="833" t="s">
        <v>452</v>
      </c>
      <c r="V83" s="837"/>
      <c r="W83" s="833" t="s">
        <v>452</v>
      </c>
      <c r="X83" s="833" t="s">
        <v>452</v>
      </c>
      <c r="AB83" s="717"/>
    </row>
    <row r="84" spans="2:28">
      <c r="B84" s="764" t="s">
        <v>1047</v>
      </c>
      <c r="C84" s="839" t="s">
        <v>452</v>
      </c>
      <c r="D84" s="833" t="s">
        <v>452</v>
      </c>
      <c r="E84" s="833" t="s">
        <v>452</v>
      </c>
      <c r="F84" s="833" t="s">
        <v>452</v>
      </c>
      <c r="G84" s="837"/>
      <c r="H84" s="839" t="s">
        <v>452</v>
      </c>
      <c r="I84" s="833" t="s">
        <v>452</v>
      </c>
      <c r="J84" s="837"/>
      <c r="K84" s="833" t="s">
        <v>452</v>
      </c>
      <c r="L84" s="833" t="s">
        <v>452</v>
      </c>
      <c r="M84" s="817"/>
      <c r="N84" s="817"/>
      <c r="O84" s="839" t="s">
        <v>452</v>
      </c>
      <c r="P84" s="833" t="s">
        <v>452</v>
      </c>
      <c r="Q84" s="833" t="s">
        <v>452</v>
      </c>
      <c r="R84" s="833" t="s">
        <v>452</v>
      </c>
      <c r="S84" s="832"/>
      <c r="T84" s="839" t="s">
        <v>452</v>
      </c>
      <c r="U84" s="833" t="s">
        <v>452</v>
      </c>
      <c r="V84" s="837"/>
      <c r="W84" s="833" t="s">
        <v>452</v>
      </c>
      <c r="X84" s="833" t="s">
        <v>452</v>
      </c>
      <c r="AB84" s="717"/>
    </row>
    <row r="85" spans="2:28">
      <c r="B85" s="764" t="s">
        <v>23</v>
      </c>
      <c r="C85" s="840">
        <f>IF(ISNUMBER(INDEX(Database!$G$6:$G$197, MATCH($B85&amp;"USD bn", Database!$AD$6:$AD$197, 0))), INDEX(Database!$G$6:$G$197, MATCH($B85&amp;"USD bn", Database!$AD$6:$AD$197, 0)), "")</f>
        <v>5.6957877830164128</v>
      </c>
      <c r="D85" s="837">
        <f>IF(ISNUMBER(INDEX(Database!$H$6:$H$197, MATCH($B85&amp;"USD bn", Database!$AD$6:$AD$197, 0))), INDEX(Database!$H$6:$H$197, MATCH($B85&amp;"USD bn", Database!$AD$6:$AD$197, 0)), "")</f>
        <v>0.80458007357131589</v>
      </c>
      <c r="E85" s="837">
        <f>IF(ISNUMBER(INDEX(Database!$J$6:$J$197, MATCH($B85&amp;"USD bn", Database!$AD$6:$AD$197, 0))), INDEX(Database!$J$6:$J$197, MATCH($B85&amp;"USD bn", Database!$AD$6:$AD$197, 0)), "")</f>
        <v>4.891207709445097</v>
      </c>
      <c r="F85" s="833" t="str">
        <f>IF(ISNUMBER(INDEX(Database!$L$6:$L$197, MATCH($B85&amp;"USD bn", Database!$AD$6:$AD$197, 0))), INDEX(Database!$L$6:$L$197, MATCH($B85&amp;"USD bn", Database!$AD$6:$AD$197, 0)), "")</f>
        <v/>
      </c>
      <c r="G85" s="837"/>
      <c r="H85" s="840">
        <f>IF(ISNUMBER(INDEX(Database!$P$6:$P$197, MATCH($B85&amp;"USD bn", Database!$AD$6:$AD$197, 0))), INDEX(Database!$P$6:$P$197, MATCH($B85&amp;"USD bn", Database!$AD$6:$AD$197, 0)), "")</f>
        <v>0.46256670638826908</v>
      </c>
      <c r="I85" s="837">
        <f>IF(ISNUMBER(INDEX(Database!$Q$6:$Q$197, MATCH($B85&amp;"USD bn", Database!$AD$6:$AD$197, 0))), INDEX(Database!$Q$6:$Q$197, MATCH($B85&amp;"USD bn", Database!$AD$6:$AD$197, 0)), "")</f>
        <v>0.46256670638826908</v>
      </c>
      <c r="J85" s="837"/>
      <c r="K85" s="837" t="str">
        <f>IF(ISNUMBER(INDEX(Database!$U$6:$U$197, MATCH($B85&amp;"USD bn", Database!$AD$6:$AD$197, 0))), INDEX(Database!$U$6:$U$197, MATCH($B85&amp;"USD bn", Database!$AD$6:$AD$197, 0)), "")</f>
        <v/>
      </c>
      <c r="L85" s="837" t="str">
        <f>IF(ISNUMBER(INDEX(Database!$W$6:$W$197, MATCH($B85&amp;"USD bn", Database!$AD$6:$AD$197, 0))), INDEX(Database!$W$6:$W$197, MATCH($B85&amp;"USD bn", Database!$AD$6:$AD$197, 0)), "")</f>
        <v/>
      </c>
      <c r="M85" s="817"/>
      <c r="N85" s="817"/>
      <c r="O85" s="835">
        <f>IF(ISNUMBER(INDEX(Database!$G$6:$G$197, MATCH($B85&amp;"% GDP", Database!$AD$6:$AD$197, 0))), INDEX(Database!$G$6:$G$197, MATCH($B85&amp;"% GDP", Database!$AD$6:$AD$197, 0)), "")</f>
        <v>1.5680273855370135</v>
      </c>
      <c r="P85" s="836">
        <f>IF(ISNUMBER(INDEX(Database!$H$6:$H$197, MATCH($B85&amp;"% GDP", Database!$AD$6:$AD$197, 0))), INDEX(Database!$H$6:$H$197, MATCH($B85&amp;"% GDP", Database!$AD$6:$AD$197, 0)), "")</f>
        <v>0.22149764655541296</v>
      </c>
      <c r="Q85" s="836">
        <f>IF(ISNUMBER(INDEX(Database!$J$6:$J$197, MATCH($B85&amp;"% GDP", Database!$AD$6:$AD$197, 0))), INDEX(Database!$J$6:$J$197, MATCH($B85&amp;"% GDP", Database!$AD$6:$AD$197, 0)), "")</f>
        <v>1.3465297389816004</v>
      </c>
      <c r="R85" s="836" t="str">
        <f>IF(ISNUMBER(INDEX(Database!$L$6:$L$197, MATCH($B85&amp;"% GDP", Database!$AD$6:$AD$197, 0))), INDEX(Database!$L$6:$L$197, MATCH($B85&amp;"% GDP", Database!$AD$6:$AD$197, 0)), "")</f>
        <v/>
      </c>
      <c r="S85" s="836"/>
      <c r="T85" s="835">
        <f>IF(ISNUMBER(INDEX(Database!$P$6:$P$197, MATCH($B85&amp;"% GDP", Database!$AD$6:$AD$197, 0))), INDEX(Database!$P$6:$P$197, MATCH($B85&amp;"% GDP", Database!$AD$6:$AD$197, 0)), "")</f>
        <v>0.12734274711168164</v>
      </c>
      <c r="U85" s="836">
        <f>IF(ISNUMBER(INDEX(Database!$Q$6:$Q$197, MATCH($B85&amp;"% GDP", Database!$AD$6:$AD$197, 0))), INDEX(Database!$Q$6:$Q$197, MATCH($B85&amp;"% GDP", Database!$AD$6:$AD$197, 0)), "")</f>
        <v>0.12734274711168164</v>
      </c>
      <c r="V85" s="836"/>
      <c r="W85" s="836" t="str">
        <f>IF(ISNUMBER(INDEX(Database!$U$6:$U$197, MATCH($B85&amp;"% GDP", Database!$AD$6:$AD$197, 0))), INDEX(Database!$U$6:$U$197, MATCH($B85&amp;"% GDP", Database!$AD$6:$AD$197, 0)), "")</f>
        <v/>
      </c>
      <c r="X85" s="836" t="str">
        <f>IF(ISNUMBER(INDEX(Database!$W$6:$W$197, MATCH($B85&amp;"% GDP", Database!$AD$6:$AD$197, 0))), INDEX(Database!$W$6:$W$197, MATCH($B85&amp;"% GDP", Database!$AD$6:$AD$197, 0)), "")</f>
        <v/>
      </c>
      <c r="AB85" s="562"/>
    </row>
    <row r="86" spans="2:28">
      <c r="B86" s="764" t="s">
        <v>1048</v>
      </c>
      <c r="C86" s="839">
        <v>0.92</v>
      </c>
      <c r="D86" s="833">
        <v>0.47</v>
      </c>
      <c r="E86" s="833">
        <v>0.45000000000000007</v>
      </c>
      <c r="F86" s="833" t="s">
        <v>452</v>
      </c>
      <c r="G86" s="837"/>
      <c r="H86" s="839" t="s">
        <v>452</v>
      </c>
      <c r="I86" s="833" t="s">
        <v>452</v>
      </c>
      <c r="J86" s="837"/>
      <c r="K86" s="833" t="s">
        <v>452</v>
      </c>
      <c r="L86" s="833" t="s">
        <v>452</v>
      </c>
      <c r="M86" s="817"/>
      <c r="N86" s="817"/>
      <c r="O86" s="839">
        <v>3.7354184968340878</v>
      </c>
      <c r="P86" s="833">
        <v>1.9083116233826314</v>
      </c>
      <c r="Q86" s="833">
        <v>1.8271068734514562</v>
      </c>
      <c r="R86" s="833" t="s">
        <v>452</v>
      </c>
      <c r="S86" s="832"/>
      <c r="T86" s="839" t="s">
        <v>452</v>
      </c>
      <c r="U86" s="833" t="s">
        <v>452</v>
      </c>
      <c r="V86" s="837"/>
      <c r="W86" s="833" t="s">
        <v>452</v>
      </c>
      <c r="X86" s="833" t="s">
        <v>452</v>
      </c>
      <c r="AB86" s="717"/>
    </row>
    <row r="87" spans="2:28">
      <c r="B87" s="764" t="s">
        <v>1049</v>
      </c>
      <c r="C87" s="839">
        <v>0.17092062206835038</v>
      </c>
      <c r="D87" s="833">
        <v>9.913396079964322E-2</v>
      </c>
      <c r="E87" s="833">
        <v>7.1786661268707155E-2</v>
      </c>
      <c r="F87" s="833">
        <v>3.4184124413670074E-2</v>
      </c>
      <c r="G87" s="837"/>
      <c r="H87" s="839">
        <v>1.7092062206835038E-3</v>
      </c>
      <c r="I87" s="833" t="s">
        <v>452</v>
      </c>
      <c r="J87" s="837"/>
      <c r="K87" s="833">
        <v>1.7092062206835038E-3</v>
      </c>
      <c r="L87" s="833" t="s">
        <v>452</v>
      </c>
      <c r="M87" s="817"/>
      <c r="N87" s="817"/>
      <c r="O87" s="839">
        <v>1.7210598967171629</v>
      </c>
      <c r="P87" s="833">
        <v>0.99821474009595434</v>
      </c>
      <c r="Q87" s="833">
        <v>0.72284515662120841</v>
      </c>
      <c r="R87" s="833">
        <v>0.34421197934343251</v>
      </c>
      <c r="S87" s="832"/>
      <c r="T87" s="839">
        <v>1.7210598967171628E-2</v>
      </c>
      <c r="U87" s="833" t="s">
        <v>452</v>
      </c>
      <c r="V87" s="837"/>
      <c r="W87" s="833">
        <v>1.7210598967171628E-2</v>
      </c>
      <c r="X87" s="833" t="s">
        <v>452</v>
      </c>
      <c r="AB87" s="717"/>
    </row>
    <row r="88" spans="2:28">
      <c r="B88" s="764" t="s">
        <v>1050</v>
      </c>
      <c r="C88" s="839">
        <v>0.10914285714285714</v>
      </c>
      <c r="D88" s="833">
        <v>1.4285714285714285E-2</v>
      </c>
      <c r="E88" s="833">
        <v>9.4857142857142848E-2</v>
      </c>
      <c r="F88" s="833" t="s">
        <v>452</v>
      </c>
      <c r="G88" s="837"/>
      <c r="H88" s="839" t="s">
        <v>452</v>
      </c>
      <c r="I88" s="833" t="s">
        <v>452</v>
      </c>
      <c r="J88" s="837"/>
      <c r="K88" s="833" t="s">
        <v>452</v>
      </c>
      <c r="L88" s="833" t="s">
        <v>452</v>
      </c>
      <c r="M88" s="817"/>
      <c r="N88" s="817"/>
      <c r="O88" s="839">
        <v>2.8361922912854145</v>
      </c>
      <c r="P88" s="833">
        <v>0.37122935749809088</v>
      </c>
      <c r="Q88" s="833">
        <v>2.4649629337873233</v>
      </c>
      <c r="R88" s="833" t="s">
        <v>452</v>
      </c>
      <c r="S88" s="832"/>
      <c r="T88" s="839" t="s">
        <v>452</v>
      </c>
      <c r="U88" s="833" t="s">
        <v>452</v>
      </c>
      <c r="V88" s="837"/>
      <c r="W88" s="833" t="s">
        <v>452</v>
      </c>
      <c r="X88" s="833" t="s">
        <v>452</v>
      </c>
      <c r="AB88" s="717"/>
    </row>
    <row r="89" spans="2:28">
      <c r="B89" s="764" t="s">
        <v>1051</v>
      </c>
      <c r="C89" s="839">
        <v>0.22455520322080055</v>
      </c>
      <c r="D89" s="833">
        <v>1.727347717083081E-2</v>
      </c>
      <c r="E89" s="833">
        <v>0.20728172604996975</v>
      </c>
      <c r="F89" s="833" t="s">
        <v>452</v>
      </c>
      <c r="G89" s="837"/>
      <c r="H89" s="839" t="s">
        <v>452</v>
      </c>
      <c r="I89" s="833" t="s">
        <v>452</v>
      </c>
      <c r="J89" s="837"/>
      <c r="K89" s="833" t="s">
        <v>452</v>
      </c>
      <c r="L89" s="833" t="s">
        <v>452</v>
      </c>
      <c r="M89" s="817"/>
      <c r="N89" s="817"/>
      <c r="O89" s="839">
        <v>5.7103024003394331</v>
      </c>
      <c r="P89" s="833">
        <v>0.43925403079534103</v>
      </c>
      <c r="Q89" s="833">
        <v>5.2710483695440926</v>
      </c>
      <c r="R89" s="833" t="s">
        <v>452</v>
      </c>
      <c r="S89" s="832"/>
      <c r="T89" s="839" t="s">
        <v>452</v>
      </c>
      <c r="U89" s="833" t="s">
        <v>452</v>
      </c>
      <c r="V89" s="837"/>
      <c r="W89" s="833" t="s">
        <v>452</v>
      </c>
      <c r="X89" s="833" t="s">
        <v>452</v>
      </c>
      <c r="AB89" s="717"/>
    </row>
    <row r="90" spans="2:28">
      <c r="B90" s="764" t="s">
        <v>1052</v>
      </c>
      <c r="C90" s="839">
        <v>0.29757280302099798</v>
      </c>
      <c r="D90" s="833">
        <v>0.1129785311871796</v>
      </c>
      <c r="E90" s="833">
        <v>0.18459427183381841</v>
      </c>
      <c r="F90" s="833" t="s">
        <v>452</v>
      </c>
      <c r="G90" s="837"/>
      <c r="H90" s="839">
        <v>2.1365077758543797E-2</v>
      </c>
      <c r="I90" s="833">
        <v>4.2730155517087592E-3</v>
      </c>
      <c r="J90" s="837"/>
      <c r="K90" s="833">
        <v>1.7092062206835037E-2</v>
      </c>
      <c r="L90" s="833" t="s">
        <v>452</v>
      </c>
      <c r="M90" s="817"/>
      <c r="N90" s="817"/>
      <c r="O90" s="839">
        <v>1.9648064559073024</v>
      </c>
      <c r="P90" s="833">
        <v>0.74597189394297925</v>
      </c>
      <c r="Q90" s="833">
        <v>1.2188345619643233</v>
      </c>
      <c r="R90" s="833" t="s">
        <v>452</v>
      </c>
      <c r="S90" s="832"/>
      <c r="T90" s="839">
        <v>0.14106881504216703</v>
      </c>
      <c r="U90" s="833">
        <v>2.8213763008433406E-2</v>
      </c>
      <c r="V90" s="837"/>
      <c r="W90" s="833">
        <v>0.11285505203373362</v>
      </c>
      <c r="X90" s="833" t="s">
        <v>452</v>
      </c>
      <c r="AB90" s="717"/>
    </row>
    <row r="91" spans="2:28">
      <c r="B91" s="764" t="s">
        <v>549</v>
      </c>
      <c r="C91" s="840">
        <f>IF(ISNUMBER(INDEX(Database!$G$6:$G$197, MATCH($B91&amp;"USD bn", Database!$AD$6:$AD$197, 0))), INDEX(Database!$G$6:$G$197, MATCH($B91&amp;"USD bn", Database!$AD$6:$AD$197, 0)), "")</f>
        <v>1.1321361565263992</v>
      </c>
      <c r="D91" s="837">
        <f>IF(ISNUMBER(INDEX(Database!$H$6:$H$197, MATCH($B91&amp;"USD bn", Database!$AD$6:$AD$197, 0))), INDEX(Database!$H$6:$H$197, MATCH($B91&amp;"USD bn", Database!$AD$6:$AD$197, 0)), "")</f>
        <v>0.41490217099973153</v>
      </c>
      <c r="E91" s="837">
        <f>IF(ISNUMBER(INDEX(Database!$J$6:$J$197, MATCH($B91&amp;"USD bn", Database!$AD$6:$AD$197, 0))), INDEX(Database!$J$6:$J$197, MATCH($B91&amp;"USD bn", Database!$AD$6:$AD$197, 0)), "")</f>
        <v>0.71723398552666773</v>
      </c>
      <c r="F91" s="833" t="str">
        <f>IF(ISNUMBER(INDEX(Database!$L$6:$L$197, MATCH($B91&amp;"USD bn", Database!$AD$6:$AD$197, 0))), INDEX(Database!$L$6:$L$197, MATCH($B91&amp;"USD bn", Database!$AD$6:$AD$197, 0)), "")</f>
        <v/>
      </c>
      <c r="G91" s="837"/>
      <c r="H91" s="840">
        <f>IF(ISNUMBER(INDEX(Database!$P$6:$P$197, MATCH($B91&amp;"USD bn", Database!$AD$6:$AD$197, 0))), INDEX(Database!$P$6:$P$197, MATCH($B91&amp;"USD bn", Database!$AD$6:$AD$197, 0)), "")</f>
        <v>5.9361103903259175E-5</v>
      </c>
      <c r="I91" s="837">
        <f>IF(ISNUMBER(INDEX(Database!$Q$6:$Q$197, MATCH($B91&amp;"USD bn", Database!$AD$6:$AD$197, 0))), INDEX(Database!$Q$6:$Q$197, MATCH($B91&amp;"USD bn", Database!$AD$6:$AD$197, 0)), "")</f>
        <v>2.4881899839689477E-5</v>
      </c>
      <c r="J91" s="837"/>
      <c r="K91" s="837">
        <f>IF(ISNUMBER(INDEX(Database!$U$6:$U$197, MATCH($B91&amp;"USD bn", Database!$AD$6:$AD$197, 0))), INDEX(Database!$U$6:$U$197, MATCH($B91&amp;"USD bn", Database!$AD$6:$AD$197, 0)), "")</f>
        <v>3.4479204063569698E-5</v>
      </c>
      <c r="L91" s="837" t="str">
        <f>IF(ISNUMBER(INDEX(Database!$W$6:$W$197, MATCH($B91&amp;"USD bn", Database!$AD$6:$AD$197, 0))), INDEX(Database!$W$6:$W$197, MATCH($B91&amp;"USD bn", Database!$AD$6:$AD$197, 0)), "")</f>
        <v/>
      </c>
      <c r="M91" s="817"/>
      <c r="N91" s="817"/>
      <c r="O91" s="835">
        <f>IF(ISNUMBER(INDEX(Database!$G$6:$G$197, MATCH($B91&amp;"% GDP", Database!$AD$6:$AD$197, 0))), INDEX(Database!$G$6:$G$197, MATCH($B91&amp;"% GDP", Database!$AD$6:$AD$197, 0)), "")</f>
        <v>7.1244589204446775</v>
      </c>
      <c r="P91" s="836">
        <f>IF(ISNUMBER(INDEX(Database!$H$6:$H$197, MATCH($B91&amp;"% GDP", Database!$AD$6:$AD$197, 0))), INDEX(Database!$H$6:$H$197, MATCH($B91&amp;"% GDP", Database!$AD$6:$AD$197, 0)), "")</f>
        <v>2.6109522748220551</v>
      </c>
      <c r="Q91" s="836">
        <f>IF(ISNUMBER(INDEX(Database!$J$6:$J$197, MATCH($B91&amp;"% GDP", Database!$AD$6:$AD$197, 0))), INDEX(Database!$J$6:$J$197, MATCH($B91&amp;"% GDP", Database!$AD$6:$AD$197, 0)), "")</f>
        <v>4.5135066456226216</v>
      </c>
      <c r="R91" s="836" t="str">
        <f>IF(ISNUMBER(INDEX(Database!$L$6:$L$197, MATCH($B91&amp;"% GDP", Database!$AD$6:$AD$197, 0))), INDEX(Database!$L$6:$L$197, MATCH($B91&amp;"% GDP", Database!$AD$6:$AD$197, 0)), "")</f>
        <v/>
      </c>
      <c r="S91" s="836"/>
      <c r="T91" s="835">
        <f>IF(ISNUMBER(INDEX(Database!$P$6:$P$197, MATCH($B91&amp;"% GDP", Database!$AD$6:$AD$197, 0))), INDEX(Database!$P$6:$P$197, MATCH($B91&amp;"% GDP", Database!$AD$6:$AD$197, 0)), "")</f>
        <v>4.5185755271281601E-4</v>
      </c>
      <c r="U91" s="836">
        <f>IF(ISNUMBER(INDEX(Database!$Q$6:$Q$197, MATCH($B91&amp;"% GDP", Database!$AD$6:$AD$197, 0))), INDEX(Database!$Q$6:$Q$197, MATCH($B91&amp;"% GDP", Database!$AD$6:$AD$197, 0)), "")</f>
        <v>1.8940136940058156E-4</v>
      </c>
      <c r="V91" s="836"/>
      <c r="W91" s="836">
        <f>IF(ISNUMBER(INDEX(Database!$U$6:$U$197, MATCH($B91&amp;"% GDP", Database!$AD$6:$AD$197, 0))), INDEX(Database!$U$6:$U$197, MATCH($B91&amp;"% GDP", Database!$AD$6:$AD$197, 0)), "")</f>
        <v>2.6245618331223442E-4</v>
      </c>
      <c r="X91" s="836" t="str">
        <f>IF(ISNUMBER(INDEX(Database!$W$6:$W$197, MATCH($B91&amp;"% GDP", Database!$AD$6:$AD$197, 0))), INDEX(Database!$W$6:$W$197, MATCH($B91&amp;"% GDP", Database!$AD$6:$AD$197, 0)), "")</f>
        <v/>
      </c>
      <c r="AB91" s="562"/>
    </row>
    <row r="92" spans="2:28">
      <c r="B92" s="764" t="s">
        <v>1053</v>
      </c>
      <c r="C92" s="839">
        <v>4.4444447584113145E-2</v>
      </c>
      <c r="D92" s="833">
        <v>3.7037039653427624E-3</v>
      </c>
      <c r="E92" s="833">
        <v>4.0740743618770385E-2</v>
      </c>
      <c r="F92" s="833" t="s">
        <v>452</v>
      </c>
      <c r="G92" s="837"/>
      <c r="H92" s="839" t="s">
        <v>452</v>
      </c>
      <c r="I92" s="833" t="s">
        <v>452</v>
      </c>
      <c r="J92" s="837"/>
      <c r="K92" s="833" t="s">
        <v>452</v>
      </c>
      <c r="L92" s="833" t="s">
        <v>452</v>
      </c>
      <c r="M92" s="817"/>
      <c r="N92" s="817"/>
      <c r="O92" s="839">
        <v>4.1067747804304382</v>
      </c>
      <c r="P92" s="833">
        <v>0.3422312317025365</v>
      </c>
      <c r="Q92" s="833">
        <v>3.7645435487279015</v>
      </c>
      <c r="R92" s="833" t="s">
        <v>452</v>
      </c>
      <c r="S92" s="832"/>
      <c r="T92" s="839" t="s">
        <v>452</v>
      </c>
      <c r="U92" s="833" t="s">
        <v>452</v>
      </c>
      <c r="V92" s="837"/>
      <c r="W92" s="833" t="s">
        <v>452</v>
      </c>
      <c r="X92" s="833" t="s">
        <v>452</v>
      </c>
      <c r="AB92" s="717"/>
    </row>
    <row r="93" spans="2:28">
      <c r="B93" s="764" t="s">
        <v>1054</v>
      </c>
      <c r="C93" s="839">
        <v>2.5557380145811455</v>
      </c>
      <c r="D93" s="833">
        <v>0.15868539918903629</v>
      </c>
      <c r="E93" s="833">
        <v>2.3970526153921092</v>
      </c>
      <c r="F93" s="833" t="s">
        <v>452</v>
      </c>
      <c r="G93" s="837"/>
      <c r="H93" s="839" t="s">
        <v>452</v>
      </c>
      <c r="I93" s="833" t="s">
        <v>452</v>
      </c>
      <c r="J93" s="837"/>
      <c r="K93" s="833" t="s">
        <v>452</v>
      </c>
      <c r="L93" s="833" t="s">
        <v>452</v>
      </c>
      <c r="M93" s="817"/>
      <c r="N93" s="817"/>
      <c r="O93" s="839">
        <v>3.4665169767554169</v>
      </c>
      <c r="P93" s="833">
        <v>0.21523553162085626</v>
      </c>
      <c r="Q93" s="833">
        <v>3.2512814451345609</v>
      </c>
      <c r="R93" s="833" t="s">
        <v>452</v>
      </c>
      <c r="S93" s="832"/>
      <c r="T93" s="839" t="s">
        <v>452</v>
      </c>
      <c r="U93" s="833" t="s">
        <v>452</v>
      </c>
      <c r="V93" s="837"/>
      <c r="W93" s="833" t="s">
        <v>452</v>
      </c>
      <c r="X93" s="833" t="s">
        <v>452</v>
      </c>
      <c r="AB93" s="717"/>
    </row>
    <row r="94" spans="2:28">
      <c r="B94" s="764" t="s">
        <v>1055</v>
      </c>
      <c r="C94" s="839" t="s">
        <v>452</v>
      </c>
      <c r="D94" s="833" t="s">
        <v>452</v>
      </c>
      <c r="E94" s="833" t="s">
        <v>452</v>
      </c>
      <c r="F94" s="833" t="s">
        <v>452</v>
      </c>
      <c r="G94" s="837"/>
      <c r="H94" s="839" t="s">
        <v>452</v>
      </c>
      <c r="I94" s="833" t="s">
        <v>452</v>
      </c>
      <c r="J94" s="837"/>
      <c r="K94" s="833" t="s">
        <v>452</v>
      </c>
      <c r="L94" s="833" t="s">
        <v>452</v>
      </c>
      <c r="M94" s="817"/>
      <c r="N94" s="817"/>
      <c r="O94" s="839" t="s">
        <v>452</v>
      </c>
      <c r="P94" s="833" t="s">
        <v>452</v>
      </c>
      <c r="Q94" s="833" t="s">
        <v>452</v>
      </c>
      <c r="R94" s="833" t="s">
        <v>452</v>
      </c>
      <c r="S94" s="832"/>
      <c r="T94" s="839" t="s">
        <v>452</v>
      </c>
      <c r="U94" s="833" t="s">
        <v>452</v>
      </c>
      <c r="V94" s="837"/>
      <c r="W94" s="833" t="s">
        <v>452</v>
      </c>
      <c r="X94" s="833" t="s">
        <v>452</v>
      </c>
      <c r="AB94" s="717"/>
    </row>
    <row r="95" spans="2:28">
      <c r="B95" s="764" t="s">
        <v>40</v>
      </c>
      <c r="C95" s="839">
        <v>6.0700780864114599</v>
      </c>
      <c r="D95" s="833">
        <v>1.7353696496726863</v>
      </c>
      <c r="E95" s="833">
        <v>4.3347084367387732</v>
      </c>
      <c r="F95" s="833" t="s">
        <v>452</v>
      </c>
      <c r="G95" s="837"/>
      <c r="H95" s="839">
        <v>6.4995117965269147</v>
      </c>
      <c r="I95" s="833" t="s">
        <v>452</v>
      </c>
      <c r="J95" s="837"/>
      <c r="K95" s="833">
        <v>6.4995117965269147</v>
      </c>
      <c r="L95" s="833" t="s">
        <v>452</v>
      </c>
      <c r="M95" s="817"/>
      <c r="N95" s="817"/>
      <c r="O95" s="839">
        <v>4.0586387434554974</v>
      </c>
      <c r="P95" s="833">
        <v>1.1603209042970015</v>
      </c>
      <c r="Q95" s="833">
        <v>2.8983178391584956</v>
      </c>
      <c r="R95" s="833" t="s">
        <v>452</v>
      </c>
      <c r="S95" s="832"/>
      <c r="T95" s="839">
        <v>4.3457711771423284</v>
      </c>
      <c r="U95" s="833" t="s">
        <v>452</v>
      </c>
      <c r="V95" s="837"/>
      <c r="W95" s="833">
        <v>4.3457711771423284</v>
      </c>
      <c r="X95" s="833" t="s">
        <v>452</v>
      </c>
      <c r="AB95" s="717"/>
    </row>
    <row r="96" spans="2:28">
      <c r="B96" s="764" t="s">
        <v>28</v>
      </c>
      <c r="C96" s="839">
        <v>30.589630614544188</v>
      </c>
      <c r="D96" s="833">
        <v>11.448396408215547</v>
      </c>
      <c r="E96" s="833">
        <v>19.14123420632864</v>
      </c>
      <c r="F96" s="833">
        <v>34.345189224646646</v>
      </c>
      <c r="G96" s="837"/>
      <c r="H96" s="839" t="s">
        <v>452</v>
      </c>
      <c r="I96" s="833" t="s">
        <v>452</v>
      </c>
      <c r="J96" s="837"/>
      <c r="K96" s="833" t="s">
        <v>452</v>
      </c>
      <c r="L96" s="833" t="s">
        <v>452</v>
      </c>
      <c r="M96" s="817"/>
      <c r="N96" s="817"/>
      <c r="O96" s="839">
        <v>5.0276544209483394</v>
      </c>
      <c r="P96" s="833">
        <v>1.8816370011073984</v>
      </c>
      <c r="Q96" s="833">
        <v>3.1460174198409416</v>
      </c>
      <c r="R96" s="833">
        <v>5.6449110033221945</v>
      </c>
      <c r="S96" s="832"/>
      <c r="T96" s="839" t="s">
        <v>452</v>
      </c>
      <c r="U96" s="833" t="s">
        <v>452</v>
      </c>
      <c r="V96" s="837"/>
      <c r="W96" s="833" t="s">
        <v>452</v>
      </c>
      <c r="X96" s="833" t="s">
        <v>452</v>
      </c>
      <c r="AB96" s="717"/>
    </row>
    <row r="97" spans="2:28">
      <c r="B97" s="764" t="s">
        <v>1056</v>
      </c>
      <c r="C97" s="839">
        <v>0.33333333333333331</v>
      </c>
      <c r="D97" s="833">
        <v>7.952622673434856E-2</v>
      </c>
      <c r="E97" s="833">
        <v>0.25380710659898476</v>
      </c>
      <c r="F97" s="833">
        <v>0</v>
      </c>
      <c r="G97" s="837"/>
      <c r="H97" s="839" t="s">
        <v>452</v>
      </c>
      <c r="I97" s="833">
        <v>0</v>
      </c>
      <c r="J97" s="837"/>
      <c r="K97" s="833">
        <v>0</v>
      </c>
      <c r="L97" s="833">
        <v>0</v>
      </c>
      <c r="M97" s="817"/>
      <c r="N97" s="817"/>
      <c r="O97" s="839">
        <v>0.18815082582175055</v>
      </c>
      <c r="P97" s="833">
        <v>4.4888775703666381E-2</v>
      </c>
      <c r="Q97" s="833">
        <v>0.14326205011808418</v>
      </c>
      <c r="R97" s="833">
        <v>0</v>
      </c>
      <c r="S97" s="832"/>
      <c r="T97" s="839" t="s">
        <v>452</v>
      </c>
      <c r="U97" s="833">
        <v>0</v>
      </c>
      <c r="V97" s="837"/>
      <c r="W97" s="833">
        <v>0</v>
      </c>
      <c r="X97" s="833">
        <v>0</v>
      </c>
      <c r="AB97" s="717"/>
    </row>
    <row r="98" spans="2:28">
      <c r="B98" s="864" t="s">
        <v>1057</v>
      </c>
      <c r="C98" s="839">
        <v>0.12689087308761421</v>
      </c>
      <c r="D98" s="855">
        <v>0.05</v>
      </c>
      <c r="E98" s="833">
        <f>C98-D98</f>
        <v>7.6890873087614206E-2</v>
      </c>
      <c r="F98" s="833" t="s">
        <v>452</v>
      </c>
      <c r="G98" s="837"/>
      <c r="H98" s="839" t="s">
        <v>452</v>
      </c>
      <c r="I98" s="833" t="s">
        <v>452</v>
      </c>
      <c r="J98" s="837"/>
      <c r="K98" s="833" t="s">
        <v>452</v>
      </c>
      <c r="L98" s="833" t="s">
        <v>452</v>
      </c>
      <c r="M98" s="817"/>
      <c r="N98" s="817"/>
      <c r="O98" s="839">
        <v>0.86197104782418632</v>
      </c>
      <c r="P98" s="855">
        <v>0.4</v>
      </c>
      <c r="Q98" s="855">
        <v>0.5</v>
      </c>
      <c r="R98" s="833" t="s">
        <v>452</v>
      </c>
      <c r="S98" s="832"/>
      <c r="T98" s="839" t="s">
        <v>452</v>
      </c>
      <c r="U98" s="833" t="s">
        <v>452</v>
      </c>
      <c r="V98" s="837"/>
      <c r="W98" s="833" t="s">
        <v>452</v>
      </c>
      <c r="X98" s="833" t="s">
        <v>452</v>
      </c>
      <c r="AB98" s="717"/>
    </row>
    <row r="99" spans="2:28">
      <c r="B99" s="764" t="s">
        <v>1058</v>
      </c>
      <c r="C99" s="839">
        <v>0.22567039999999988</v>
      </c>
      <c r="D99" s="833">
        <v>7.0521999999999974E-2</v>
      </c>
      <c r="E99" s="833">
        <v>0.15514839999999994</v>
      </c>
      <c r="F99" s="833" t="s">
        <v>452</v>
      </c>
      <c r="G99" s="837"/>
      <c r="H99" s="839">
        <v>0.70521999999999962</v>
      </c>
      <c r="I99" s="833" t="s">
        <v>452</v>
      </c>
      <c r="J99" s="837"/>
      <c r="K99" s="833" t="s">
        <v>452</v>
      </c>
      <c r="L99" s="833">
        <v>0.70521999999999962</v>
      </c>
      <c r="M99" s="817"/>
      <c r="N99" s="817"/>
      <c r="O99" s="839">
        <v>0.54079086977564328</v>
      </c>
      <c r="P99" s="833">
        <v>0.16899714680488853</v>
      </c>
      <c r="Q99" s="833">
        <v>0.3717937229707548</v>
      </c>
      <c r="R99" s="833" t="s">
        <v>452</v>
      </c>
      <c r="S99" s="832"/>
      <c r="T99" s="839">
        <v>1.6899714680488853</v>
      </c>
      <c r="U99" s="833" t="s">
        <v>452</v>
      </c>
      <c r="V99" s="837"/>
      <c r="W99" s="833" t="s">
        <v>452</v>
      </c>
      <c r="X99" s="833">
        <v>1.6899714680488853</v>
      </c>
      <c r="AB99" s="717"/>
    </row>
    <row r="100" spans="2:28">
      <c r="B100" s="764" t="s">
        <v>35</v>
      </c>
      <c r="C100" s="840">
        <f>IF(ISNUMBER(INDEX(Database!$G$6:$G$197, MATCH($B100&amp;"USD bn", Database!$AD$6:$AD$197, 0))), INDEX(Database!$G$6:$G$197, MATCH($B100&amp;"USD bn", Database!$AD$6:$AD$197, 0)), "")</f>
        <v>9.4151074374828561</v>
      </c>
      <c r="D100" s="837">
        <f>IF(ISNUMBER(INDEX(Database!$H$6:$H$197, MATCH($B100&amp;"USD bn", Database!$AD$6:$AD$197, 0))), INDEX(Database!$H$6:$H$197, MATCH($B100&amp;"USD bn", Database!$AD$6:$AD$197, 0)), "")</f>
        <v>1.203525822126795</v>
      </c>
      <c r="E100" s="837">
        <f>IF(ISNUMBER(INDEX(Database!$J$6:$J$197, MATCH($B100&amp;"USD bn", Database!$AD$6:$AD$197, 0))), INDEX(Database!$J$6:$J$197, MATCH($B100&amp;"USD bn", Database!$AD$6:$AD$197, 0)), "")</f>
        <v>8.2115816153560601</v>
      </c>
      <c r="F100" s="833">
        <f>IF(ISNUMBER(INDEX(Database!$L$6:$L$197, MATCH($B100&amp;"USD bn", Database!$AD$6:$AD$197, 0))), INDEX(Database!$L$6:$L$197, MATCH($B100&amp;"USD bn", Database!$AD$6:$AD$197, 0)), "")</f>
        <v>0.48431622620796583</v>
      </c>
      <c r="G100" s="837"/>
      <c r="H100" s="840">
        <f>IF(ISNUMBER(INDEX(Database!$P$6:$P$197, MATCH($B100&amp;"USD bn", Database!$AD$6:$AD$197, 0))), INDEX(Database!$P$6:$P$197, MATCH($B100&amp;"USD bn", Database!$AD$6:$AD$197, 0)), "")</f>
        <v>4.8843291413073349</v>
      </c>
      <c r="I100" s="837">
        <f>IF(ISNUMBER(INDEX(Database!$Q$6:$Q$197, MATCH($B100&amp;"USD bn", Database!$AD$6:$AD$197, 0))), INDEX(Database!$Q$6:$Q$197, MATCH($B100&amp;"USD bn", Database!$AD$6:$AD$197, 0)), "")</f>
        <v>0</v>
      </c>
      <c r="J100" s="837"/>
      <c r="K100" s="837" t="str">
        <f>IF(ISNUMBER(INDEX(Database!$U$6:$U$197, MATCH($B100&amp;"USD bn", Database!$AD$6:$AD$197, 0))), INDEX(Database!$U$6:$U$197, MATCH($B100&amp;"USD bn", Database!$AD$6:$AD$197, 0)), "")</f>
        <v/>
      </c>
      <c r="L100" s="837">
        <f>IF(ISNUMBER(INDEX(Database!$W$6:$W$197, MATCH($B100&amp;"USD bn", Database!$AD$6:$AD$197, 0))), INDEX(Database!$W$6:$W$197, MATCH($B100&amp;"USD bn", Database!$AD$6:$AD$197, 0)), "")</f>
        <v>4.8843291413073349</v>
      </c>
      <c r="M100" s="817"/>
      <c r="N100" s="817"/>
      <c r="O100" s="835">
        <f>IF(ISNUMBER(INDEX(Database!$G$6:$G$197, MATCH($B100&amp;"% GDP", Database!$AD$6:$AD$197, 0))), INDEX(Database!$G$6:$G$197, MATCH($B100&amp;"% GDP", Database!$AD$6:$AD$197, 0)), "")</f>
        <v>5.4981978129390923</v>
      </c>
      <c r="P100" s="836">
        <f>IF(ISNUMBER(INDEX(Database!$H$6:$H$197, MATCH($B100&amp;"% GDP", Database!$AD$6:$AD$197, 0))), INDEX(Database!$H$6:$H$197, MATCH($B100&amp;"% GDP", Database!$AD$6:$AD$197, 0)), "")</f>
        <v>0.70283032742559903</v>
      </c>
      <c r="Q100" s="836">
        <f>IF(ISNUMBER(INDEX(Database!$J$6:$J$197, MATCH($B100&amp;"% GDP", Database!$AD$6:$AD$197, 0))), INDEX(Database!$J$6:$J$197, MATCH($B100&amp;"% GDP", Database!$AD$6:$AD$197, 0)), "")</f>
        <v>4.7953674855134931</v>
      </c>
      <c r="R100" s="836">
        <f>IF(ISNUMBER(INDEX(Database!$L$6:$L$197, MATCH($B100&amp;"% GDP", Database!$AD$6:$AD$197, 0))), INDEX(Database!$L$6:$L$197, MATCH($B100&amp;"% GDP", Database!$AD$6:$AD$197, 0)), "")</f>
        <v>0.28282910560386276</v>
      </c>
      <c r="S100" s="836"/>
      <c r="T100" s="835">
        <f>IF(ISNUMBER(INDEX(Database!$P$6:$P$197, MATCH($B100&amp;"% GDP", Database!$AD$6:$AD$197, 0))), INDEX(Database!$P$6:$P$197, MATCH($B100&amp;"% GDP", Database!$AD$6:$AD$197, 0)), "")</f>
        <v>2.8523315300149559</v>
      </c>
      <c r="U100" s="836">
        <f>IF(ISNUMBER(INDEX(Database!$Q$6:$Q$197, MATCH($B100&amp;"% GDP", Database!$AD$6:$AD$197, 0))), INDEX(Database!$Q$6:$Q$197, MATCH($B100&amp;"% GDP", Database!$AD$6:$AD$197, 0)), "")</f>
        <v>0</v>
      </c>
      <c r="V100" s="836"/>
      <c r="W100" s="836" t="str">
        <f>IF(ISNUMBER(INDEX(Database!$U$6:$U$197, MATCH($B100&amp;"% GDP", Database!$AD$6:$AD$197, 0))), INDEX(Database!$U$6:$U$197, MATCH($B100&amp;"% GDP", Database!$AD$6:$AD$197, 0)), "")</f>
        <v/>
      </c>
      <c r="X100" s="836">
        <f>IF(ISNUMBER(INDEX(Database!$W$6:$W$197, MATCH($B100&amp;"% GDP", Database!$AD$6:$AD$197, 0))), INDEX(Database!$W$6:$W$197, MATCH($B100&amp;"% GDP", Database!$AD$6:$AD$197, 0)), "")</f>
        <v>2.8523315300149559</v>
      </c>
      <c r="AB100" s="562"/>
    </row>
    <row r="101" spans="2:28">
      <c r="B101" s="864" t="s">
        <v>970</v>
      </c>
      <c r="C101" s="856">
        <v>0.39560520949447364</v>
      </c>
      <c r="D101" s="855">
        <v>3.2347829284630994E-2</v>
      </c>
      <c r="E101" s="855">
        <v>0.36325738020984261</v>
      </c>
      <c r="F101" s="855"/>
      <c r="G101" s="859"/>
      <c r="H101" s="856">
        <v>3.2784962112801679E-3</v>
      </c>
      <c r="I101" s="855"/>
      <c r="J101" s="859"/>
      <c r="K101" s="855" t="s">
        <v>452</v>
      </c>
      <c r="L101" s="855" t="s">
        <v>452</v>
      </c>
      <c r="M101" s="860"/>
      <c r="N101" s="860"/>
      <c r="O101" s="856">
        <v>5.3945646508828942</v>
      </c>
      <c r="P101" s="855">
        <v>0.44110252393959576</v>
      </c>
      <c r="Q101" s="855">
        <v>4.9534621269432986</v>
      </c>
      <c r="R101" s="855"/>
      <c r="S101" s="866"/>
      <c r="T101" s="856">
        <v>4.4706336885769846E-2</v>
      </c>
      <c r="U101" s="855"/>
      <c r="V101" s="859"/>
      <c r="W101" s="855" t="s">
        <v>452</v>
      </c>
      <c r="X101" s="855" t="s">
        <v>452</v>
      </c>
      <c r="AB101" s="717"/>
    </row>
    <row r="102" spans="2:28">
      <c r="B102" s="764" t="s">
        <v>1059</v>
      </c>
      <c r="C102" s="839">
        <v>1.6561775422325273</v>
      </c>
      <c r="D102" s="833" t="s">
        <v>452</v>
      </c>
      <c r="E102" s="833" t="s">
        <v>452</v>
      </c>
      <c r="F102" s="833" t="s">
        <v>452</v>
      </c>
      <c r="G102" s="837"/>
      <c r="H102" s="839" t="s">
        <v>452</v>
      </c>
      <c r="I102" s="833" t="s">
        <v>452</v>
      </c>
      <c r="J102" s="837"/>
      <c r="K102" s="833" t="s">
        <v>452</v>
      </c>
      <c r="L102" s="833" t="s">
        <v>452</v>
      </c>
      <c r="M102" s="817"/>
      <c r="N102" s="817"/>
      <c r="O102" s="839">
        <v>1.5198909617927794</v>
      </c>
      <c r="P102" s="833" t="s">
        <v>452</v>
      </c>
      <c r="Q102" s="833" t="s">
        <v>452</v>
      </c>
      <c r="R102" s="833" t="s">
        <v>452</v>
      </c>
      <c r="S102" s="832"/>
      <c r="T102" s="839" t="s">
        <v>452</v>
      </c>
      <c r="U102" s="833" t="s">
        <v>452</v>
      </c>
      <c r="V102" s="837"/>
      <c r="W102" s="833" t="s">
        <v>452</v>
      </c>
      <c r="X102" s="833" t="s">
        <v>452</v>
      </c>
      <c r="AB102" s="717"/>
    </row>
    <row r="103" spans="2:28">
      <c r="B103" s="764" t="s">
        <v>1060</v>
      </c>
      <c r="C103" s="839" t="s">
        <v>452</v>
      </c>
      <c r="D103" s="833" t="s">
        <v>452</v>
      </c>
      <c r="E103" s="833" t="s">
        <v>452</v>
      </c>
      <c r="F103" s="833" t="s">
        <v>452</v>
      </c>
      <c r="G103" s="837"/>
      <c r="H103" s="839" t="s">
        <v>452</v>
      </c>
      <c r="I103" s="833" t="s">
        <v>452</v>
      </c>
      <c r="J103" s="837"/>
      <c r="K103" s="833" t="s">
        <v>452</v>
      </c>
      <c r="L103" s="833" t="s">
        <v>452</v>
      </c>
      <c r="M103" s="817"/>
      <c r="N103" s="817"/>
      <c r="O103" s="839" t="s">
        <v>452</v>
      </c>
      <c r="P103" s="833" t="s">
        <v>452</v>
      </c>
      <c r="Q103" s="833" t="s">
        <v>452</v>
      </c>
      <c r="R103" s="833" t="s">
        <v>452</v>
      </c>
      <c r="S103" s="832"/>
      <c r="T103" s="839" t="s">
        <v>452</v>
      </c>
      <c r="U103" s="833" t="s">
        <v>452</v>
      </c>
      <c r="V103" s="837"/>
      <c r="W103" s="833" t="s">
        <v>452</v>
      </c>
      <c r="X103" s="833" t="s">
        <v>452</v>
      </c>
      <c r="AB103" s="717"/>
    </row>
    <row r="104" spans="2:28">
      <c r="B104" s="764" t="s">
        <v>1061</v>
      </c>
      <c r="C104" s="839">
        <v>0.36090251971399612</v>
      </c>
      <c r="D104" s="833" t="s">
        <v>452</v>
      </c>
      <c r="E104" s="833" t="s">
        <v>452</v>
      </c>
      <c r="F104" s="833" t="s">
        <v>452</v>
      </c>
      <c r="G104" s="837"/>
      <c r="H104" s="839" t="s">
        <v>452</v>
      </c>
      <c r="I104" s="833" t="s">
        <v>452</v>
      </c>
      <c r="J104" s="837"/>
      <c r="K104" s="833" t="s">
        <v>452</v>
      </c>
      <c r="L104" s="833" t="s">
        <v>452</v>
      </c>
      <c r="M104" s="817"/>
      <c r="N104" s="817"/>
      <c r="O104" s="839">
        <v>1.6551601659142039</v>
      </c>
      <c r="P104" s="833" t="s">
        <v>452</v>
      </c>
      <c r="Q104" s="833" t="s">
        <v>452</v>
      </c>
      <c r="R104" s="833" t="s">
        <v>452</v>
      </c>
      <c r="S104" s="832"/>
      <c r="T104" s="839" t="s">
        <v>452</v>
      </c>
      <c r="U104" s="833" t="s">
        <v>452</v>
      </c>
      <c r="V104" s="837"/>
      <c r="W104" s="833" t="s">
        <v>452</v>
      </c>
      <c r="X104" s="833" t="s">
        <v>452</v>
      </c>
      <c r="AB104" s="717"/>
    </row>
    <row r="105" spans="2:28">
      <c r="B105" s="764" t="s">
        <v>24</v>
      </c>
      <c r="C105" s="839">
        <v>14.623605992206191</v>
      </c>
      <c r="D105" s="833">
        <v>0.37616992905996632</v>
      </c>
      <c r="E105" s="833">
        <v>14.247436063146225</v>
      </c>
      <c r="F105" s="833">
        <v>3.8087205317321589</v>
      </c>
      <c r="G105" s="837"/>
      <c r="H105" s="839">
        <v>11.755310283123947</v>
      </c>
      <c r="I105" s="833">
        <v>0</v>
      </c>
      <c r="J105" s="837"/>
      <c r="K105" s="833">
        <v>11.755310283123947</v>
      </c>
      <c r="L105" s="833" t="s">
        <v>452</v>
      </c>
      <c r="M105" s="817"/>
      <c r="N105" s="817"/>
      <c r="O105" s="839">
        <v>4.3058821322447409</v>
      </c>
      <c r="P105" s="833">
        <v>0.11076224134391617</v>
      </c>
      <c r="Q105" s="833">
        <v>4.1951198909008243</v>
      </c>
      <c r="R105" s="833">
        <v>1.1214676936071513</v>
      </c>
      <c r="S105" s="832"/>
      <c r="T105" s="839">
        <v>3.4613200419973804</v>
      </c>
      <c r="U105" s="833">
        <v>0</v>
      </c>
      <c r="V105" s="837"/>
      <c r="W105" s="833">
        <v>3.4613200419973804</v>
      </c>
      <c r="X105" s="833" t="s">
        <v>452</v>
      </c>
      <c r="AB105" s="717"/>
    </row>
    <row r="106" spans="2:28">
      <c r="B106" s="864" t="s">
        <v>1062</v>
      </c>
      <c r="C106" s="856">
        <v>0.3</v>
      </c>
      <c r="D106" s="833" t="s">
        <v>452</v>
      </c>
      <c r="E106" s="833">
        <v>0.3</v>
      </c>
      <c r="F106" s="833" t="s">
        <v>452</v>
      </c>
      <c r="G106" s="837"/>
      <c r="H106" s="839" t="s">
        <v>452</v>
      </c>
      <c r="I106" s="833" t="s">
        <v>452</v>
      </c>
      <c r="J106" s="837"/>
      <c r="K106" s="833" t="s">
        <v>452</v>
      </c>
      <c r="L106" s="833" t="s">
        <v>452</v>
      </c>
      <c r="M106" s="817"/>
      <c r="N106" s="817"/>
      <c r="O106" s="856">
        <v>5.5</v>
      </c>
      <c r="P106" s="833" t="s">
        <v>452</v>
      </c>
      <c r="Q106" s="833">
        <v>5.5</v>
      </c>
      <c r="R106" s="833" t="s">
        <v>452</v>
      </c>
      <c r="S106" s="832"/>
      <c r="T106" s="839" t="s">
        <v>452</v>
      </c>
      <c r="U106" s="833" t="s">
        <v>452</v>
      </c>
      <c r="V106" s="837"/>
      <c r="W106" s="833" t="s">
        <v>452</v>
      </c>
      <c r="X106" s="833" t="s">
        <v>452</v>
      </c>
      <c r="AB106" s="717"/>
    </row>
    <row r="107" spans="2:28">
      <c r="B107" s="764" t="s">
        <v>92</v>
      </c>
      <c r="C107" s="840">
        <f>IF(ISNUMBER(INDEX(Database!$G$6:$G$197, MATCH($B107&amp;"USD bn", Database!$AD$6:$AD$197, 0))), INDEX(Database!$G$6:$G$197, MATCH($B107&amp;"USD bn", Database!$AD$6:$AD$197, 0)), "")</f>
        <v>0.99880719208951563</v>
      </c>
      <c r="D107" s="837">
        <f>IF(ISNUMBER(INDEX(Database!$H$6:$H$197, MATCH($B107&amp;"USD bn", Database!$AD$6:$AD$197, 0))), INDEX(Database!$H$6:$H$197, MATCH($B107&amp;"USD bn", Database!$AD$6:$AD$197, 0)), "")</f>
        <v>3.3039423656905105E-2</v>
      </c>
      <c r="E107" s="837">
        <f>IF(ISNUMBER(INDEX(Database!$J$6:$J$197, MATCH($B107&amp;"USD bn", Database!$AD$6:$AD$197, 0))), INDEX(Database!$J$6:$J$197, MATCH($B107&amp;"USD bn", Database!$AD$6:$AD$197, 0)), "")</f>
        <v>0.96576776843261058</v>
      </c>
      <c r="F107" s="833" t="str">
        <f>IF(ISNUMBER(INDEX(Database!$L$6:$L$197, MATCH($B107&amp;"USD bn", Database!$AD$6:$AD$197, 0))), INDEX(Database!$L$6:$L$197, MATCH($B107&amp;"USD bn", Database!$AD$6:$AD$197, 0)), "")</f>
        <v/>
      </c>
      <c r="G107" s="837"/>
      <c r="H107" s="840">
        <f>IF(ISNUMBER(INDEX(Database!$P$6:$P$197, MATCH($B107&amp;"USD bn", Database!$AD$6:$AD$197, 0))), INDEX(Database!$P$6:$P$197, MATCH($B107&amp;"USD bn", Database!$AD$6:$AD$197, 0)), "")</f>
        <v>4.0460586509071472</v>
      </c>
      <c r="I107" s="837">
        <f>IF(ISNUMBER(INDEX(Database!$Q$6:$Q$197, MATCH($B107&amp;"USD bn", Database!$AD$6:$AD$197, 0))), INDEX(Database!$Q$6:$Q$197, MATCH($B107&amp;"USD bn", Database!$AD$6:$AD$197, 0)), "")</f>
        <v>0.36089216609850183</v>
      </c>
      <c r="J107" s="837"/>
      <c r="K107" s="837" t="str">
        <f>IF(ISNUMBER(INDEX(Database!$U$6:$U$197, MATCH($B107&amp;"USD bn", Database!$AD$6:$AD$197, 0))), INDEX(Database!$U$6:$U$197, MATCH($B107&amp;"USD bn", Database!$AD$6:$AD$197, 0)), "")</f>
        <v/>
      </c>
      <c r="L107" s="837">
        <f>IF(ISNUMBER(INDEX(Database!$W$6:$W$197, MATCH($B107&amp;"USD bn", Database!$AD$6:$AD$197, 0))), INDEX(Database!$W$6:$W$197, MATCH($B107&amp;"USD bn", Database!$AD$6:$AD$197, 0)), "")</f>
        <v>3.6851664848086458</v>
      </c>
      <c r="M107" s="817"/>
      <c r="N107" s="817"/>
      <c r="O107" s="835">
        <f>IF(ISNUMBER(INDEX(Database!$G$6:$G$197, MATCH($B107&amp;"% GDP", Database!$AD$6:$AD$197, 0))), INDEX(Database!$G$6:$G$197, MATCH($B107&amp;"% GDP", Database!$AD$6:$AD$197, 0)), "")</f>
        <v>9.1999999999999993</v>
      </c>
      <c r="P107" s="836">
        <f>IF(ISNUMBER(INDEX(Database!$H$6:$H$197, MATCH($B107&amp;"% GDP", Database!$AD$6:$AD$197, 0))), INDEX(Database!$H$6:$H$197, MATCH($B107&amp;"% GDP", Database!$AD$6:$AD$197, 0)), "")</f>
        <v>0.30432569974554707</v>
      </c>
      <c r="Q107" s="836">
        <f>IF(ISNUMBER(INDEX(Database!$J$6:$J$197, MATCH($B107&amp;"% GDP", Database!$AD$6:$AD$197, 0))), INDEX(Database!$J$6:$J$197, MATCH($B107&amp;"% GDP", Database!$AD$6:$AD$197, 0)), "")</f>
        <v>8.895674300254452</v>
      </c>
      <c r="R107" s="836" t="str">
        <f>IF(ISNUMBER(INDEX(Database!$L$6:$L$197, MATCH($B107&amp;"% GDP", Database!$AD$6:$AD$197, 0))), INDEX(Database!$L$6:$L$197, MATCH($B107&amp;"% GDP", Database!$AD$6:$AD$197, 0)), "")</f>
        <v/>
      </c>
      <c r="S107" s="836"/>
      <c r="T107" s="835">
        <f>IF(ISNUMBER(INDEX(Database!$P$6:$P$197, MATCH($B107&amp;"% GDP", Database!$AD$6:$AD$197, 0))), INDEX(Database!$P$6:$P$197, MATCH($B107&amp;"% GDP", Database!$AD$6:$AD$197, 0)), "")</f>
        <v>37.268193384223913</v>
      </c>
      <c r="U107" s="836">
        <f>IF(ISNUMBER(INDEX(Database!$Q$6:$Q$197, MATCH($B107&amp;"% GDP", Database!$AD$6:$AD$197, 0))), INDEX(Database!$Q$6:$Q$197, MATCH($B107&amp;"% GDP", Database!$AD$6:$AD$197, 0)), "")</f>
        <v>3.3241730279898221</v>
      </c>
      <c r="V107" s="836"/>
      <c r="W107" s="836" t="str">
        <f>IF(ISNUMBER(INDEX(Database!$U$6:$U$197, MATCH($B107&amp;"% GDP", Database!$AD$6:$AD$197, 0))), INDEX(Database!$U$6:$U$197, MATCH($B107&amp;"% GDP", Database!$AD$6:$AD$197, 0)), "")</f>
        <v/>
      </c>
      <c r="X107" s="836">
        <f>IF(ISNUMBER(INDEX(Database!$W$6:$W$197, MATCH($B107&amp;"% GDP", Database!$AD$6:$AD$197, 0))), INDEX(Database!$W$6:$W$197, MATCH($B107&amp;"% GDP", Database!$AD$6:$AD$197, 0)), "")</f>
        <v>33.944020356234091</v>
      </c>
      <c r="AB107" s="562"/>
    </row>
    <row r="108" spans="2:28">
      <c r="B108" s="764" t="s">
        <v>1063</v>
      </c>
      <c r="C108" s="839">
        <v>7.0000000000000007E-2</v>
      </c>
      <c r="D108" s="833">
        <v>0.02</v>
      </c>
      <c r="E108" s="833">
        <v>0.05</v>
      </c>
      <c r="F108" s="833" t="s">
        <v>452</v>
      </c>
      <c r="G108" s="837"/>
      <c r="H108" s="839" t="s">
        <v>452</v>
      </c>
      <c r="I108" s="833" t="s">
        <v>452</v>
      </c>
      <c r="J108" s="837"/>
      <c r="K108" s="833" t="s">
        <v>452</v>
      </c>
      <c r="L108" s="833" t="s">
        <v>452</v>
      </c>
      <c r="M108" s="817"/>
      <c r="N108" s="817"/>
      <c r="O108" s="839">
        <v>17.770943031515003</v>
      </c>
      <c r="P108" s="833">
        <v>5.077412294718572</v>
      </c>
      <c r="Q108" s="833">
        <v>12.693530736796429</v>
      </c>
      <c r="R108" s="833" t="s">
        <v>452</v>
      </c>
      <c r="S108" s="832"/>
      <c r="T108" s="839" t="s">
        <v>452</v>
      </c>
      <c r="U108" s="833" t="s">
        <v>452</v>
      </c>
      <c r="V108" s="837"/>
      <c r="W108" s="833" t="s">
        <v>452</v>
      </c>
      <c r="X108" s="833" t="s">
        <v>452</v>
      </c>
      <c r="AB108" s="717"/>
    </row>
    <row r="109" spans="2:28">
      <c r="B109" s="864" t="s">
        <v>25</v>
      </c>
      <c r="C109" s="867">
        <f>D109+E109</f>
        <v>1.0442770003588087</v>
      </c>
      <c r="D109" s="868">
        <v>0.15794761392177969</v>
      </c>
      <c r="E109" s="868">
        <v>0.88632938643702897</v>
      </c>
      <c r="F109" s="868" t="s">
        <v>452</v>
      </c>
      <c r="G109" s="869"/>
      <c r="H109" s="867">
        <f>I109+L109+K109</f>
        <v>0.32400430570505923</v>
      </c>
      <c r="I109" s="868">
        <v>3.6957301758162898E-2</v>
      </c>
      <c r="J109" s="869"/>
      <c r="K109" s="868">
        <v>0</v>
      </c>
      <c r="L109" s="868">
        <v>0.28704700394689631</v>
      </c>
      <c r="M109" s="870"/>
      <c r="N109" s="870"/>
      <c r="O109" s="867">
        <f>P109+Q109</f>
        <v>7.5227460711331666</v>
      </c>
      <c r="P109" s="868">
        <v>1.1378205128205128</v>
      </c>
      <c r="Q109" s="868">
        <v>6.3849255583126538</v>
      </c>
      <c r="R109" s="868" t="s">
        <v>452</v>
      </c>
      <c r="S109" s="871"/>
      <c r="T109" s="867">
        <f>U109+W109+X109</f>
        <v>2.3340570719602978</v>
      </c>
      <c r="U109" s="868">
        <v>0.26623242349048798</v>
      </c>
      <c r="V109" s="869"/>
      <c r="W109" s="868">
        <v>0</v>
      </c>
      <c r="X109" s="868">
        <v>2.0678246484698097</v>
      </c>
      <c r="AB109" s="717"/>
    </row>
    <row r="110" spans="2:28">
      <c r="B110" s="764" t="s">
        <v>1064</v>
      </c>
      <c r="C110" s="839">
        <v>0.39240802471531144</v>
      </c>
      <c r="D110" s="833">
        <v>2.2423315698017799E-2</v>
      </c>
      <c r="E110" s="833">
        <v>0.36998470901729363</v>
      </c>
      <c r="F110" s="833">
        <v>0.11211657849008899</v>
      </c>
      <c r="G110" s="837"/>
      <c r="H110" s="839">
        <v>5.6058289245044496E-2</v>
      </c>
      <c r="I110" s="833" t="s">
        <v>452</v>
      </c>
      <c r="J110" s="837"/>
      <c r="K110" s="833">
        <v>5.6058289245044496E-2</v>
      </c>
      <c r="L110" s="833" t="s">
        <v>452</v>
      </c>
      <c r="M110" s="817"/>
      <c r="N110" s="817"/>
      <c r="O110" s="839">
        <v>7.8054087887058632</v>
      </c>
      <c r="P110" s="833">
        <v>0.44602335935462079</v>
      </c>
      <c r="Q110" s="833">
        <v>7.3593854293512413</v>
      </c>
      <c r="R110" s="833">
        <v>2.2301167967731037</v>
      </c>
      <c r="S110" s="832"/>
      <c r="T110" s="839">
        <v>1.1150583983865519</v>
      </c>
      <c r="U110" s="833" t="s">
        <v>452</v>
      </c>
      <c r="V110" s="837"/>
      <c r="W110" s="833">
        <v>1.1150583983865519</v>
      </c>
      <c r="X110" s="833" t="s">
        <v>452</v>
      </c>
      <c r="AB110" s="717"/>
    </row>
    <row r="111" spans="2:28">
      <c r="B111" s="764" t="s">
        <v>1065</v>
      </c>
      <c r="C111" s="839" t="s">
        <v>452</v>
      </c>
      <c r="D111" s="833" t="s">
        <v>452</v>
      </c>
      <c r="E111" s="833" t="s">
        <v>452</v>
      </c>
      <c r="F111" s="833" t="s">
        <v>452</v>
      </c>
      <c r="G111" s="837"/>
      <c r="H111" s="839" t="s">
        <v>452</v>
      </c>
      <c r="I111" s="833" t="s">
        <v>452</v>
      </c>
      <c r="J111" s="837"/>
      <c r="K111" s="833" t="s">
        <v>452</v>
      </c>
      <c r="L111" s="833" t="s">
        <v>452</v>
      </c>
      <c r="M111" s="817"/>
      <c r="N111" s="817"/>
      <c r="O111" s="839" t="s">
        <v>452</v>
      </c>
      <c r="P111" s="833" t="s">
        <v>452</v>
      </c>
      <c r="Q111" s="833" t="s">
        <v>452</v>
      </c>
      <c r="R111" s="833" t="s">
        <v>452</v>
      </c>
      <c r="S111" s="832"/>
      <c r="T111" s="839" t="s">
        <v>452</v>
      </c>
      <c r="U111" s="833" t="s">
        <v>452</v>
      </c>
      <c r="V111" s="837"/>
      <c r="W111" s="833" t="s">
        <v>452</v>
      </c>
      <c r="X111" s="833" t="s">
        <v>452</v>
      </c>
      <c r="AB111" s="717"/>
    </row>
    <row r="112" spans="2:28">
      <c r="B112" s="864" t="s">
        <v>1066</v>
      </c>
      <c r="C112" s="856">
        <v>2.6</v>
      </c>
      <c r="D112" s="855">
        <v>0.2</v>
      </c>
      <c r="E112" s="855">
        <v>2.4</v>
      </c>
      <c r="F112" s="833" t="s">
        <v>452</v>
      </c>
      <c r="G112" s="837"/>
      <c r="H112" s="839">
        <v>2.8</v>
      </c>
      <c r="I112" s="833" t="s">
        <v>452</v>
      </c>
      <c r="J112" s="837"/>
      <c r="K112" s="855">
        <v>2.8</v>
      </c>
      <c r="L112" s="833" t="s">
        <v>452</v>
      </c>
      <c r="M112" s="817"/>
      <c r="N112" s="817"/>
      <c r="O112" s="856">
        <v>2.2999999999999998</v>
      </c>
      <c r="P112" s="855">
        <v>0.3</v>
      </c>
      <c r="Q112" s="855">
        <v>2.1</v>
      </c>
      <c r="R112" s="833" t="s">
        <v>452</v>
      </c>
      <c r="S112" s="832"/>
      <c r="T112" s="839">
        <v>2.2999999999999998</v>
      </c>
      <c r="U112" s="833" t="s">
        <v>452</v>
      </c>
      <c r="V112" s="837"/>
      <c r="W112" s="855">
        <v>2.2999999999999998</v>
      </c>
      <c r="X112" s="833" t="s">
        <v>452</v>
      </c>
      <c r="AB112" s="717"/>
    </row>
    <row r="113" spans="2:28">
      <c r="B113" s="764" t="s">
        <v>1067</v>
      </c>
      <c r="C113" s="839">
        <v>0.11695906432748537</v>
      </c>
      <c r="D113" s="833">
        <v>5.8479532163742687E-2</v>
      </c>
      <c r="E113" s="833">
        <v>5.8479532163742687E-2</v>
      </c>
      <c r="F113" s="833" t="s">
        <v>452</v>
      </c>
      <c r="G113" s="837"/>
      <c r="H113" s="839">
        <v>0.12865497076023391</v>
      </c>
      <c r="I113" s="833" t="s">
        <v>452</v>
      </c>
      <c r="J113" s="837"/>
      <c r="K113" s="833">
        <v>0.12865497076023391</v>
      </c>
      <c r="L113" s="833" t="s">
        <v>452</v>
      </c>
      <c r="M113" s="817"/>
      <c r="N113" s="817"/>
      <c r="O113" s="839">
        <v>1.140799484566634</v>
      </c>
      <c r="P113" s="833">
        <v>0.57039974228331702</v>
      </c>
      <c r="Q113" s="833">
        <v>0.57039974228331702</v>
      </c>
      <c r="R113" s="833" t="s">
        <v>452</v>
      </c>
      <c r="S113" s="832"/>
      <c r="T113" s="839">
        <v>1.2548794330232975</v>
      </c>
      <c r="U113" s="833" t="s">
        <v>452</v>
      </c>
      <c r="V113" s="837"/>
      <c r="W113" s="833">
        <v>1.2548794330232975</v>
      </c>
      <c r="X113" s="833" t="s">
        <v>452</v>
      </c>
      <c r="AB113" s="717"/>
    </row>
    <row r="114" spans="2:28">
      <c r="B114" s="764" t="s">
        <v>1068</v>
      </c>
      <c r="C114" s="839">
        <v>6.7118417245866134E-3</v>
      </c>
      <c r="D114" s="833">
        <v>0</v>
      </c>
      <c r="E114" s="833">
        <v>6.7118417245866134E-3</v>
      </c>
      <c r="F114" s="833" t="s">
        <v>452</v>
      </c>
      <c r="G114" s="837"/>
      <c r="H114" s="839">
        <v>6.7118417245866134E-3</v>
      </c>
      <c r="I114" s="833" t="s">
        <v>452</v>
      </c>
      <c r="J114" s="837"/>
      <c r="K114" s="833" t="s">
        <v>452</v>
      </c>
      <c r="L114" s="833">
        <v>6.7118417245866134E-3</v>
      </c>
      <c r="M114" s="817"/>
      <c r="N114" s="817"/>
      <c r="O114" s="839">
        <v>5.9311981020166078</v>
      </c>
      <c r="P114" s="833">
        <v>0</v>
      </c>
      <c r="Q114" s="833">
        <v>5.9311981020166078</v>
      </c>
      <c r="R114" s="833" t="s">
        <v>452</v>
      </c>
      <c r="S114" s="832"/>
      <c r="T114" s="839">
        <v>5.9311981020166078</v>
      </c>
      <c r="U114" s="833" t="s">
        <v>452</v>
      </c>
      <c r="V114" s="837"/>
      <c r="W114" s="833" t="s">
        <v>452</v>
      </c>
      <c r="X114" s="833">
        <v>5.9311981020166078</v>
      </c>
      <c r="AB114" s="717"/>
    </row>
    <row r="115" spans="2:28">
      <c r="B115" s="764" t="s">
        <v>963</v>
      </c>
      <c r="C115" s="840">
        <f>IF(ISNUMBER(INDEX(Database!$G$6:$G$197, MATCH($B115&amp;"USD bn", Database!$AD$6:$AD$197, 0))), INDEX(Database!$G$6:$G$197, MATCH($B115&amp;"USD bn", Database!$AD$6:$AD$197, 0)), "")</f>
        <v>0.6143669224556243</v>
      </c>
      <c r="D115" s="837">
        <f>IF(ISNUMBER(INDEX(Database!$H$6:$H$197, MATCH($B115&amp;"USD bn", Database!$AD$6:$AD$197, 0))), INDEX(Database!$H$6:$H$197, MATCH($B115&amp;"USD bn", Database!$AD$6:$AD$197, 0)), "")</f>
        <v>7.7721116696193429E-2</v>
      </c>
      <c r="E115" s="837">
        <f>IF(ISNUMBER(INDEX(Database!$J$6:$J$197, MATCH($B115&amp;"USD bn", Database!$AD$6:$AD$197, 0))), INDEX(Database!$J$6:$J$197, MATCH($B115&amp;"USD bn", Database!$AD$6:$AD$197, 0)), "")</f>
        <v>0.53664580575943077</v>
      </c>
      <c r="F115" s="833" t="str">
        <f>IF(ISNUMBER(INDEX(Database!$L$6:$L$197, MATCH($B115&amp;"USD bn", Database!$AD$6:$AD$197, 0))), INDEX(Database!$L$6:$L$197, MATCH($B115&amp;"USD bn", Database!$AD$6:$AD$197, 0)), "")</f>
        <v/>
      </c>
      <c r="G115" s="837"/>
      <c r="H115" s="840">
        <f>IF(ISNUMBER(INDEX(Database!$P$6:$P$197, MATCH($B115&amp;"USD bn", Database!$AD$6:$AD$197, 0))), INDEX(Database!$P$6:$P$197, MATCH($B115&amp;"USD bn", Database!$AD$6:$AD$197, 0)), "")</f>
        <v>0.37047065625185532</v>
      </c>
      <c r="I115" s="837" t="str">
        <f>IF(ISNUMBER(INDEX(Database!$Q$6:$Q$197, MATCH($B115&amp;"USD bn", Database!$AD$6:$AD$197, 0))), INDEX(Database!$Q$6:$Q$197, MATCH($B115&amp;"USD bn", Database!$AD$6:$AD$197, 0)), "")</f>
        <v/>
      </c>
      <c r="J115" s="837"/>
      <c r="K115" s="837">
        <f>IF(ISNUMBER(INDEX(Database!$U$6:$U$197, MATCH($B115&amp;"USD bn", Database!$AD$6:$AD$197, 0))), INDEX(Database!$U$6:$U$197, MATCH($B115&amp;"USD bn", Database!$AD$6:$AD$197, 0)), "")</f>
        <v>0.37047065625185532</v>
      </c>
      <c r="L115" s="837" t="str">
        <f>IF(ISNUMBER(INDEX(Database!$W$6:$W$197, MATCH($B115&amp;"USD bn", Database!$AD$6:$AD$197, 0))), INDEX(Database!$W$6:$W$197, MATCH($B115&amp;"USD bn", Database!$AD$6:$AD$197, 0)), "")</f>
        <v/>
      </c>
      <c r="M115" s="817"/>
      <c r="N115" s="817"/>
      <c r="O115" s="835">
        <f>IF(ISNUMBER(INDEX(Database!$G$6:$G$197, MATCH($B115&amp;"% GDP", Database!$AD$6:$AD$197, 0))), INDEX(Database!$G$6:$G$197, MATCH($B115&amp;"% GDP", Database!$AD$6:$AD$197, 0)), "")</f>
        <v>4.9999322298342346</v>
      </c>
      <c r="P115" s="836">
        <f>IF(ISNUMBER(INDEX(Database!$H$6:$H$197, MATCH($B115&amp;"% GDP", Database!$AD$6:$AD$197, 0))), INDEX(Database!$H$6:$H$197, MATCH($B115&amp;"% GDP", Database!$AD$6:$AD$197, 0)), "")</f>
        <v>0.63252154714770437</v>
      </c>
      <c r="Q115" s="836">
        <f>IF(ISNUMBER(INDEX(Database!$J$6:$J$197, MATCH($B115&amp;"% GDP", Database!$AD$6:$AD$197, 0))), INDEX(Database!$J$6:$J$197, MATCH($B115&amp;"% GDP", Database!$AD$6:$AD$197, 0)), "")</f>
        <v>4.36741068268653</v>
      </c>
      <c r="R115" s="836" t="str">
        <f>IF(ISNUMBER(INDEX(Database!$L$6:$L$197, MATCH($B115&amp;"% GDP", Database!$AD$6:$AD$197, 0))), INDEX(Database!$L$6:$L$197, MATCH($B115&amp;"% GDP", Database!$AD$6:$AD$197, 0)), "")</f>
        <v/>
      </c>
      <c r="S115" s="836"/>
      <c r="T115" s="835">
        <f>IF(ISNUMBER(INDEX(Database!$P$6:$P$197, MATCH($B115&amp;"% GDP", Database!$AD$6:$AD$197, 0))), INDEX(Database!$P$6:$P$197, MATCH($B115&amp;"% GDP", Database!$AD$6:$AD$197, 0)), "")</f>
        <v>3.0150193747373906</v>
      </c>
      <c r="U115" s="836" t="str">
        <f>IF(ISNUMBER(INDEX(Database!$Q$6:$Q$197, MATCH($B115&amp;"% GDP", Database!$AD$6:$AD$197, 0))), INDEX(Database!$Q$6:$Q$197, MATCH($B115&amp;"% GDP", Database!$AD$6:$AD$197, 0)), "")</f>
        <v/>
      </c>
      <c r="V115" s="836"/>
      <c r="W115" s="836">
        <f>IF(ISNUMBER(INDEX(Database!$U$6:$U$197, MATCH($B115&amp;"% GDP", Database!$AD$6:$AD$197, 0))), INDEX(Database!$U$6:$U$197, MATCH($B115&amp;"% GDP", Database!$AD$6:$AD$197, 0)), "")</f>
        <v>3.0150193747373906</v>
      </c>
      <c r="X115" s="836" t="str">
        <f>IF(ISNUMBER(INDEX(Database!$W$6:$W$197, MATCH($B115&amp;"% GDP", Database!$AD$6:$AD$197, 0))), INDEX(Database!$W$6:$W$197, MATCH($B115&amp;"% GDP", Database!$AD$6:$AD$197, 0)), "")</f>
        <v/>
      </c>
      <c r="AB115" s="717"/>
    </row>
    <row r="116" spans="2:28">
      <c r="B116" s="764" t="s">
        <v>1070</v>
      </c>
      <c r="C116" s="839" t="s">
        <v>452</v>
      </c>
      <c r="D116" s="833" t="s">
        <v>452</v>
      </c>
      <c r="E116" s="833" t="s">
        <v>452</v>
      </c>
      <c r="F116" s="833" t="s">
        <v>452</v>
      </c>
      <c r="G116" s="837"/>
      <c r="H116" s="839" t="s">
        <v>452</v>
      </c>
      <c r="I116" s="833" t="s">
        <v>452</v>
      </c>
      <c r="J116" s="837"/>
      <c r="K116" s="833" t="s">
        <v>452</v>
      </c>
      <c r="L116" s="833" t="s">
        <v>452</v>
      </c>
      <c r="M116" s="817"/>
      <c r="N116" s="817"/>
      <c r="O116" s="839" t="s">
        <v>452</v>
      </c>
      <c r="P116" s="833" t="s">
        <v>452</v>
      </c>
      <c r="Q116" s="833" t="s">
        <v>452</v>
      </c>
      <c r="R116" s="833" t="s">
        <v>452</v>
      </c>
      <c r="S116" s="832"/>
      <c r="T116" s="839" t="s">
        <v>452</v>
      </c>
      <c r="U116" s="833" t="s">
        <v>452</v>
      </c>
      <c r="V116" s="837"/>
      <c r="W116" s="833" t="s">
        <v>452</v>
      </c>
      <c r="X116" s="833" t="s">
        <v>452</v>
      </c>
      <c r="AB116" s="717"/>
    </row>
    <row r="117" spans="2:28">
      <c r="B117" s="764" t="s">
        <v>554</v>
      </c>
      <c r="C117" s="840">
        <f>IF(ISNUMBER(INDEX(Database!$G$6:$G$197, MATCH($B117&amp;"USD bn", Database!$AD$6:$AD$197, 0))), INDEX(Database!$G$6:$G$197, MATCH($B117&amp;"USD bn", Database!$AD$6:$AD$197, 0)), "")</f>
        <v>5.2148375564455147</v>
      </c>
      <c r="D117" s="837">
        <f>IF(ISNUMBER(INDEX(Database!$H$6:$H$197, MATCH($B117&amp;"USD bn", Database!$AD$6:$AD$197, 0))), INDEX(Database!$H$6:$H$197, MATCH($B117&amp;"USD bn", Database!$AD$6:$AD$197, 0)), "")</f>
        <v>1.1210641123759681</v>
      </c>
      <c r="E117" s="837">
        <f>IF(ISNUMBER(INDEX(Database!$J$6:$J$197, MATCH($B117&amp;"USD bn", Database!$AD$6:$AD$197, 0))), INDEX(Database!$J$6:$J$197, MATCH($B117&amp;"USD bn", Database!$AD$6:$AD$197, 0)), "")</f>
        <v>4.0937734440695461</v>
      </c>
      <c r="F117" s="833">
        <f>IF(ISNUMBER(INDEX(Database!$L$6:$L$197, MATCH($B117&amp;"USD bn", Database!$AD$6:$AD$197, 0))), INDEX(Database!$L$6:$L$197, MATCH($B117&amp;"USD bn", Database!$AD$6:$AD$197, 0)), "")</f>
        <v>3.0230942356205883</v>
      </c>
      <c r="G117" s="837"/>
      <c r="H117" s="840" t="str">
        <f>IF(ISNUMBER(INDEX(Database!$P$6:$P$197, MATCH($B117&amp;"USD bn", Database!$AD$6:$AD$197, 0))), INDEX(Database!$P$6:$P$197, MATCH($B117&amp;"USD bn", Database!$AD$6:$AD$197, 0)), "")</f>
        <v/>
      </c>
      <c r="I117" s="837" t="str">
        <f>IF(ISNUMBER(INDEX(Database!$Q$6:$Q$197, MATCH($B117&amp;"USD bn", Database!$AD$6:$AD$197, 0))), INDEX(Database!$Q$6:$Q$197, MATCH($B117&amp;"USD bn", Database!$AD$6:$AD$197, 0)), "")</f>
        <v/>
      </c>
      <c r="J117" s="837"/>
      <c r="K117" s="837" t="str">
        <f>IF(ISNUMBER(INDEX(Database!$U$6:$U$197, MATCH($B117&amp;"USD bn", Database!$AD$6:$AD$197, 0))), INDEX(Database!$U$6:$U$197, MATCH($B117&amp;"USD bn", Database!$AD$6:$AD$197, 0)), "")</f>
        <v/>
      </c>
      <c r="L117" s="837" t="str">
        <f>IF(ISNUMBER(INDEX(Database!$W$6:$W$197, MATCH($B117&amp;"USD bn", Database!$AD$6:$AD$197, 0))), INDEX(Database!$W$6:$W$197, MATCH($B117&amp;"USD bn", Database!$AD$6:$AD$197, 0)), "")</f>
        <v/>
      </c>
      <c r="M117" s="817"/>
      <c r="N117" s="817"/>
      <c r="O117" s="835">
        <f>IF(ISNUMBER(INDEX(Database!$G$6:$G$197, MATCH($B117&amp;"% GDP", Database!$AD$6:$AD$197, 0))), INDEX(Database!$G$6:$G$197, MATCH($B117&amp;"% GDP", Database!$AD$6:$AD$197, 0)), "")</f>
        <v>1.9924764282578782</v>
      </c>
      <c r="P117" s="836">
        <f>IF(ISNUMBER(INDEX(Database!$H$6:$H$197, MATCH($B117&amp;"% GDP", Database!$AD$6:$AD$197, 0))), INDEX(Database!$H$6:$H$197, MATCH($B117&amp;"% GDP", Database!$AD$6:$AD$197, 0)), "")</f>
        <v>0.42833430462548588</v>
      </c>
      <c r="Q117" s="836">
        <f>IF(ISNUMBER(INDEX(Database!$J$6:$J$197, MATCH($B117&amp;"% GDP", Database!$AD$6:$AD$197, 0))), INDEX(Database!$J$6:$J$197, MATCH($B117&amp;"% GDP", Database!$AD$6:$AD$197, 0)), "")</f>
        <v>1.5641421236323922</v>
      </c>
      <c r="R117" s="836">
        <f>IF(ISNUMBER(INDEX(Database!$L$6:$L$197, MATCH($B117&amp;"% GDP", Database!$AD$6:$AD$197, 0))), INDEX(Database!$L$6:$L$197, MATCH($B117&amp;"% GDP", Database!$AD$6:$AD$197, 0)), "")</f>
        <v>1.1550587989900742</v>
      </c>
      <c r="S117" s="836"/>
      <c r="T117" s="835" t="str">
        <f>IF(ISNUMBER(INDEX(Database!$P$6:$P$197, MATCH($B117&amp;"% GDP", Database!$AD$6:$AD$197, 0))), INDEX(Database!$P$6:$P$197, MATCH($B117&amp;"% GDP", Database!$AD$6:$AD$197, 0)), "")</f>
        <v/>
      </c>
      <c r="U117" s="836" t="str">
        <f>IF(ISNUMBER(INDEX(Database!$Q$6:$Q$197, MATCH($B117&amp;"% GDP", Database!$AD$6:$AD$197, 0))), INDEX(Database!$Q$6:$Q$197, MATCH($B117&amp;"% GDP", Database!$AD$6:$AD$197, 0)), "")</f>
        <v/>
      </c>
      <c r="V117" s="836"/>
      <c r="W117" s="836" t="str">
        <f>IF(ISNUMBER(INDEX(Database!$U$6:$U$197, MATCH($B117&amp;"% GDP", Database!$AD$6:$AD$197, 0))), INDEX(Database!$U$6:$U$197, MATCH($B117&amp;"% GDP", Database!$AD$6:$AD$197, 0)), "")</f>
        <v/>
      </c>
      <c r="X117" s="836" t="str">
        <f>IF(ISNUMBER(INDEX(Database!$W$6:$W$197, MATCH($B117&amp;"% GDP", Database!$AD$6:$AD$197, 0))), INDEX(Database!$W$6:$W$197, MATCH($B117&amp;"% GDP", Database!$AD$6:$AD$197, 0)), "")</f>
        <v/>
      </c>
      <c r="AB117" s="562"/>
    </row>
    <row r="118" spans="2:28">
      <c r="B118" s="764" t="s">
        <v>1071</v>
      </c>
      <c r="C118" s="839">
        <v>0.02</v>
      </c>
      <c r="D118" s="833">
        <v>0</v>
      </c>
      <c r="E118" s="833">
        <v>0.02</v>
      </c>
      <c r="F118" s="833" t="s">
        <v>452</v>
      </c>
      <c r="G118" s="837"/>
      <c r="H118" s="839" t="s">
        <v>452</v>
      </c>
      <c r="I118" s="833" t="s">
        <v>452</v>
      </c>
      <c r="J118" s="837"/>
      <c r="K118" s="833" t="s">
        <v>452</v>
      </c>
      <c r="L118" s="833" t="s">
        <v>452</v>
      </c>
      <c r="M118" s="817"/>
      <c r="N118" s="817"/>
      <c r="O118" s="839">
        <v>7.9698720195532191</v>
      </c>
      <c r="P118" s="833">
        <v>0</v>
      </c>
      <c r="Q118" s="833">
        <v>7.9698720195532191</v>
      </c>
      <c r="R118" s="833" t="s">
        <v>452</v>
      </c>
      <c r="S118" s="832"/>
      <c r="T118" s="839" t="s">
        <v>452</v>
      </c>
      <c r="U118" s="833" t="s">
        <v>452</v>
      </c>
      <c r="V118" s="837"/>
      <c r="W118" s="833" t="s">
        <v>452</v>
      </c>
      <c r="X118" s="833" t="s">
        <v>452</v>
      </c>
      <c r="AB118" s="717"/>
    </row>
    <row r="119" spans="2:28">
      <c r="B119" s="764" t="s">
        <v>1072</v>
      </c>
      <c r="C119" s="839">
        <v>1.8</v>
      </c>
      <c r="D119" s="833">
        <v>0.9</v>
      </c>
      <c r="E119" s="833">
        <v>0.9</v>
      </c>
      <c r="F119" s="833" t="s">
        <v>452</v>
      </c>
      <c r="G119" s="837"/>
      <c r="H119" s="839" t="s">
        <v>452</v>
      </c>
      <c r="I119" s="833" t="s">
        <v>452</v>
      </c>
      <c r="J119" s="837"/>
      <c r="K119" s="833" t="s">
        <v>452</v>
      </c>
      <c r="L119" s="833" t="s">
        <v>452</v>
      </c>
      <c r="M119" s="817"/>
      <c r="N119" s="817"/>
      <c r="O119" s="839">
        <v>2.9857586590044525</v>
      </c>
      <c r="P119" s="833">
        <v>1.4928793295022262</v>
      </c>
      <c r="Q119" s="833">
        <v>1.4928793295022262</v>
      </c>
      <c r="R119" s="833" t="s">
        <v>452</v>
      </c>
      <c r="S119" s="832"/>
      <c r="T119" s="839" t="s">
        <v>452</v>
      </c>
      <c r="U119" s="833" t="s">
        <v>452</v>
      </c>
      <c r="V119" s="837"/>
      <c r="W119" s="833" t="s">
        <v>452</v>
      </c>
      <c r="X119" s="833" t="s">
        <v>452</v>
      </c>
      <c r="AB119" s="717"/>
    </row>
    <row r="120" spans="2:28">
      <c r="B120" s="764" t="s">
        <v>1073</v>
      </c>
      <c r="C120" s="839">
        <v>0.92027059977651338</v>
      </c>
      <c r="D120" s="833" t="s">
        <v>452</v>
      </c>
      <c r="E120" s="833" t="s">
        <v>452</v>
      </c>
      <c r="F120" s="833" t="s">
        <v>452</v>
      </c>
      <c r="G120" s="837"/>
      <c r="H120" s="839" t="s">
        <v>452</v>
      </c>
      <c r="I120" s="833" t="s">
        <v>452</v>
      </c>
      <c r="J120" s="837"/>
      <c r="K120" s="833" t="s">
        <v>452</v>
      </c>
      <c r="L120" s="833" t="s">
        <v>452</v>
      </c>
      <c r="M120" s="817"/>
      <c r="N120" s="817"/>
      <c r="O120" s="839">
        <v>2.6023538290229582</v>
      </c>
      <c r="P120" s="833" t="s">
        <v>452</v>
      </c>
      <c r="Q120" s="833" t="s">
        <v>452</v>
      </c>
      <c r="R120" s="833" t="s">
        <v>452</v>
      </c>
      <c r="S120" s="832"/>
      <c r="T120" s="839" t="s">
        <v>452</v>
      </c>
      <c r="U120" s="833" t="s">
        <v>452</v>
      </c>
      <c r="V120" s="837"/>
      <c r="W120" s="833" t="s">
        <v>452</v>
      </c>
      <c r="X120" s="833" t="s">
        <v>452</v>
      </c>
      <c r="AB120" s="717"/>
    </row>
    <row r="121" spans="2:28">
      <c r="B121" s="764" t="s">
        <v>555</v>
      </c>
      <c r="C121" s="840">
        <f>IF(ISNUMBER(INDEX(Database!$G$6:$G$197, MATCH($B121&amp;"USD bn", Database!$AD$6:$AD$197, 0))), INDEX(Database!$G$6:$G$197, MATCH($B121&amp;"USD bn", Database!$AD$6:$AD$197, 0)), "")</f>
        <v>19.711394276042082</v>
      </c>
      <c r="D121" s="837">
        <f>IF(ISNUMBER(INDEX(Database!$H$6:$H$197, MATCH($B121&amp;"USD bn", Database!$AD$6:$AD$197, 0))), INDEX(Database!$H$6:$H$197, MATCH($B121&amp;"USD bn", Database!$AD$6:$AD$197, 0)), "")</f>
        <v>3.4452457296794692</v>
      </c>
      <c r="E121" s="837">
        <f>IF(ISNUMBER(INDEX(Database!$J$6:$J$197, MATCH($B121&amp;"USD bn", Database!$AD$6:$AD$197, 0))), INDEX(Database!$J$6:$J$197, MATCH($B121&amp;"USD bn", Database!$AD$6:$AD$197, 0)), "")</f>
        <v>16.266148546362611</v>
      </c>
      <c r="F121" s="833">
        <f>IF(ISNUMBER(INDEX(Database!$L$6:$L$197, MATCH($B121&amp;"USD bn", Database!$AD$6:$AD$197, 0))), INDEX(Database!$L$6:$L$197, MATCH($B121&amp;"USD bn", Database!$AD$6:$AD$197, 0)), "")</f>
        <v>3.4458178870704317</v>
      </c>
      <c r="G121" s="837"/>
      <c r="H121" s="840">
        <f>IF(ISNUMBER(INDEX(Database!$P$6:$P$197, MATCH($B121&amp;"USD bn", Database!$AD$6:$AD$197, 0))), INDEX(Database!$P$6:$P$197, MATCH($B121&amp;"USD bn", Database!$AD$6:$AD$197, 0)), "")</f>
        <v>19.796645727295466</v>
      </c>
      <c r="I121" s="837">
        <f>IF(ISNUMBER(INDEX(Database!$Q$6:$Q$197, MATCH($B121&amp;"USD bn", Database!$AD$6:$AD$197, 0))), INDEX(Database!$Q$6:$Q$197, MATCH($B121&amp;"USD bn", Database!$AD$6:$AD$197, 0)), "")</f>
        <v>0</v>
      </c>
      <c r="J121" s="837"/>
      <c r="K121" s="837">
        <f>IF(ISNUMBER(INDEX(Database!$U$6:$U$197, MATCH($B121&amp;"USD bn", Database!$AD$6:$AD$197, 0))), INDEX(Database!$U$6:$U$197, MATCH($B121&amp;"USD bn", Database!$AD$6:$AD$197, 0)), "")</f>
        <v>19.796645727295466</v>
      </c>
      <c r="L121" s="837" t="str">
        <f>IF(ISNUMBER(INDEX(Database!$W$6:$W$197, MATCH($B121&amp;"USD bn", Database!$AD$6:$AD$197, 0))), INDEX(Database!$W$6:$W$197, MATCH($B121&amp;"USD bn", Database!$AD$6:$AD$197, 0)), "")</f>
        <v/>
      </c>
      <c r="M121" s="817"/>
      <c r="N121" s="817"/>
      <c r="O121" s="835">
        <f>IF(ISNUMBER(INDEX(Database!$G$6:$G$197, MATCH($B121&amp;"% GDP", Database!$AD$6:$AD$197, 0))), INDEX(Database!$G$6:$G$197, MATCH($B121&amp;"% GDP", Database!$AD$6:$AD$197, 0)), "")</f>
        <v>9.5938667869694285</v>
      </c>
      <c r="P121" s="836">
        <f>IF(ISNUMBER(INDEX(Database!$H$6:$H$197, MATCH($B121&amp;"% GDP", Database!$AD$6:$AD$197, 0))), INDEX(Database!$H$6:$H$197, MATCH($B121&amp;"% GDP", Database!$AD$6:$AD$197, 0)), "")</f>
        <v>1.6768589839986185</v>
      </c>
      <c r="Q121" s="836">
        <f>IF(ISNUMBER(INDEX(Database!$J$6:$J$197, MATCH($B121&amp;"% GDP", Database!$AD$6:$AD$197, 0))), INDEX(Database!$J$6:$J$197, MATCH($B121&amp;"% GDP", Database!$AD$6:$AD$197, 0)), "")</f>
        <v>7.9170078029708097</v>
      </c>
      <c r="R121" s="836">
        <f>IF(ISNUMBER(INDEX(Database!$L$6:$L$197, MATCH($B121&amp;"% GDP", Database!$AD$6:$AD$197, 0))), INDEX(Database!$L$6:$L$197, MATCH($B121&amp;"% GDP", Database!$AD$6:$AD$197, 0)), "")</f>
        <v>1.6771374626142459</v>
      </c>
      <c r="S121" s="836"/>
      <c r="T121" s="835">
        <f>IF(ISNUMBER(INDEX(Database!$P$6:$P$197, MATCH($B121&amp;"% GDP", Database!$AD$6:$AD$197, 0))), INDEX(Database!$P$6:$P$197, MATCH($B121&amp;"% GDP", Database!$AD$6:$AD$197, 0)), "")</f>
        <v>9.6353601006978682</v>
      </c>
      <c r="U121" s="836">
        <f>IF(ISNUMBER(INDEX(Database!$Q$6:$Q$197, MATCH($B121&amp;"% GDP", Database!$AD$6:$AD$197, 0))), INDEX(Database!$Q$6:$Q$197, MATCH($B121&amp;"% GDP", Database!$AD$6:$AD$197, 0)), "")</f>
        <v>0</v>
      </c>
      <c r="V121" s="836"/>
      <c r="W121" s="836">
        <f>IF(ISNUMBER(INDEX(Database!$U$6:$U$197, MATCH($B121&amp;"% GDP", Database!$AD$6:$AD$197, 0))), INDEX(Database!$U$6:$U$197, MATCH($B121&amp;"% GDP", Database!$AD$6:$AD$197, 0)), "")</f>
        <v>9.6353601006978682</v>
      </c>
      <c r="X121" s="836" t="str">
        <f>IF(ISNUMBER(INDEX(Database!$W$6:$W$197, MATCH($B121&amp;"% GDP", Database!$AD$6:$AD$197, 0))), INDEX(Database!$W$6:$W$197, MATCH($B121&amp;"% GDP", Database!$AD$6:$AD$197, 0)), "")</f>
        <v/>
      </c>
      <c r="AB121" s="562"/>
    </row>
    <row r="122" spans="2:28">
      <c r="B122" s="764" t="s">
        <v>556</v>
      </c>
      <c r="C122" s="840">
        <f>IF(ISNUMBER(INDEX(Database!$G$6:$G$197, MATCH($B122&amp;"USD bn", Database!$AD$6:$AD$197, 0))), INDEX(Database!$G$6:$G$197, MATCH($B122&amp;"USD bn", Database!$AD$6:$AD$197, 0)), "")</f>
        <v>16.101047676431413</v>
      </c>
      <c r="D122" s="837">
        <f>IF(ISNUMBER(INDEX(Database!$H$6:$H$197, MATCH($B122&amp;"USD bn", Database!$AD$6:$AD$197, 0))), INDEX(Database!$H$6:$H$197, MATCH($B122&amp;"USD bn", Database!$AD$6:$AD$197, 0)), "")</f>
        <v>3.2846943319878852</v>
      </c>
      <c r="E122" s="837">
        <f>IF(ISNUMBER(INDEX(Database!$J$6:$J$197, MATCH($B122&amp;"USD bn", Database!$AD$6:$AD$197, 0))), INDEX(Database!$J$6:$J$197, MATCH($B122&amp;"USD bn", Database!$AD$6:$AD$197, 0)), "")</f>
        <v>12.816353344443527</v>
      </c>
      <c r="F122" s="833" t="str">
        <f>IF(ISNUMBER(INDEX(Database!$L$6:$L$197, MATCH($B122&amp;"USD bn", Database!$AD$6:$AD$197, 0))), INDEX(Database!$L$6:$L$197, MATCH($B122&amp;"USD bn", Database!$AD$6:$AD$197, 0)), "")</f>
        <v/>
      </c>
      <c r="G122" s="837"/>
      <c r="H122" s="840">
        <f>IF(ISNUMBER(INDEX(Database!$P$6:$P$197, MATCH($B122&amp;"USD bn", Database!$AD$6:$AD$197, 0))), INDEX(Database!$P$6:$P$197, MATCH($B122&amp;"USD bn", Database!$AD$6:$AD$197, 0)), "")</f>
        <v>2.1159073917713367</v>
      </c>
      <c r="I122" s="837">
        <f>IF(ISNUMBER(INDEX(Database!$Q$6:$Q$197, MATCH($B122&amp;"USD bn", Database!$AD$6:$AD$197, 0))), INDEX(Database!$Q$6:$Q$197, MATCH($B122&amp;"USD bn", Database!$AD$6:$AD$197, 0)), "")</f>
        <v>0.10075749484625414</v>
      </c>
      <c r="J122" s="837"/>
      <c r="K122" s="837">
        <f>IF(ISNUMBER(INDEX(Database!$U$6:$U$197, MATCH($B122&amp;"USD bn", Database!$AD$6:$AD$197, 0))), INDEX(Database!$U$6:$U$197, MATCH($B122&amp;"USD bn", Database!$AD$6:$AD$197, 0)), "")</f>
        <v>2.0151498969250827</v>
      </c>
      <c r="L122" s="837" t="str">
        <f>IF(ISNUMBER(INDEX(Database!$W$6:$W$197, MATCH($B122&amp;"USD bn", Database!$AD$6:$AD$197, 0))), INDEX(Database!$W$6:$W$197, MATCH($B122&amp;"USD bn", Database!$AD$6:$AD$197, 0)), "")</f>
        <v/>
      </c>
      <c r="M122" s="817"/>
      <c r="N122" s="817"/>
      <c r="O122" s="835">
        <f>IF(ISNUMBER(INDEX(Database!$G$6:$G$197, MATCH($B122&amp;"% GDP", Database!$AD$6:$AD$197, 0))), INDEX(Database!$G$6:$G$197, MATCH($B122&amp;"% GDP", Database!$AD$6:$AD$197, 0)), "")</f>
        <v>4.4540862311094349</v>
      </c>
      <c r="P122" s="836">
        <f>IF(ISNUMBER(INDEX(Database!$H$6:$H$197, MATCH($B122&amp;"% GDP", Database!$AD$6:$AD$197, 0))), INDEX(Database!$H$6:$H$197, MATCH($B122&amp;"% GDP", Database!$AD$6:$AD$197, 0)), "")</f>
        <v>0.90865588945036024</v>
      </c>
      <c r="Q122" s="836">
        <f>IF(ISNUMBER(INDEX(Database!$J$6:$J$197, MATCH($B122&amp;"% GDP", Database!$AD$6:$AD$197, 0))), INDEX(Database!$J$6:$J$197, MATCH($B122&amp;"% GDP", Database!$AD$6:$AD$197, 0)), "")</f>
        <v>3.545430341659074</v>
      </c>
      <c r="R122" s="836" t="str">
        <f>IF(ISNUMBER(INDEX(Database!$L$6:$L$197, MATCH($B122&amp;"% GDP", Database!$AD$6:$AD$197, 0))), INDEX(Database!$L$6:$L$197, MATCH($B122&amp;"% GDP", Database!$AD$6:$AD$197, 0)), "")</f>
        <v/>
      </c>
      <c r="S122" s="836"/>
      <c r="T122" s="835">
        <f>IF(ISNUMBER(INDEX(Database!$P$6:$P$197, MATCH($B122&amp;"% GDP", Database!$AD$6:$AD$197, 0))), INDEX(Database!$P$6:$P$197, MATCH($B122&amp;"% GDP", Database!$AD$6:$AD$197, 0)), "")</f>
        <v>0.58533048093428119</v>
      </c>
      <c r="U122" s="836">
        <f>IF(ISNUMBER(INDEX(Database!$Q$6:$Q$197, MATCH($B122&amp;"% GDP", Database!$AD$6:$AD$197, 0))), INDEX(Database!$Q$6:$Q$197, MATCH($B122&amp;"% GDP", Database!$AD$6:$AD$197, 0)), "")</f>
        <v>2.7872880044489574E-2</v>
      </c>
      <c r="V122" s="836"/>
      <c r="W122" s="836">
        <f>IF(ISNUMBER(INDEX(Database!$U$6:$U$197, MATCH($B122&amp;"% GDP", Database!$AD$6:$AD$197, 0))), INDEX(Database!$U$6:$U$197, MATCH($B122&amp;"% GDP", Database!$AD$6:$AD$197, 0)), "")</f>
        <v>0.55745760088979157</v>
      </c>
      <c r="X122" s="836" t="str">
        <f>IF(ISNUMBER(INDEX(Database!$W$6:$W$197, MATCH($B122&amp;"% GDP", Database!$AD$6:$AD$197, 0))), INDEX(Database!$W$6:$W$197, MATCH($B122&amp;"% GDP", Database!$AD$6:$AD$197, 0)), "")</f>
        <v/>
      </c>
      <c r="AB122" s="562"/>
    </row>
    <row r="123" spans="2:28">
      <c r="B123" s="764" t="s">
        <v>22</v>
      </c>
      <c r="C123" s="840">
        <f>IF(ISNUMBER(INDEX(Database!$G$6:$G$197, MATCH($B123&amp;"USD bn", Database!$AD$6:$AD$197, 0))), INDEX(Database!$G$6:$G$197, MATCH($B123&amp;"USD bn", Database!$AD$6:$AD$197, 0)), "")</f>
        <v>38.516359409090974</v>
      </c>
      <c r="D123" s="837">
        <f>IF(ISNUMBER(INDEX(Database!$H$6:$H$197, MATCH($B123&amp;"USD bn", Database!$AD$6:$AD$197, 0))), INDEX(Database!$H$6:$H$197, MATCH($B123&amp;"USD bn", Database!$AD$6:$AD$197, 0)), "")</f>
        <v>3.7695771192652283</v>
      </c>
      <c r="E123" s="837">
        <f>IF(ISNUMBER(INDEX(Database!$J$6:$J$197, MATCH($B123&amp;"USD bn", Database!$AD$6:$AD$197, 0))), INDEX(Database!$J$6:$J$197, MATCH($B123&amp;"USD bn", Database!$AD$6:$AD$197, 0)), "")</f>
        <v>34.746782289825745</v>
      </c>
      <c r="F123" s="833" t="str">
        <f>IF(ISNUMBER(INDEX(Database!$L$6:$L$197, MATCH($B123&amp;"USD bn", Database!$AD$6:$AD$197, 0))), INDEX(Database!$L$6:$L$197, MATCH($B123&amp;"USD bn", Database!$AD$6:$AD$197, 0)), "")</f>
        <v/>
      </c>
      <c r="G123" s="837"/>
      <c r="H123" s="840">
        <f>IF(ISNUMBER(INDEX(Database!$P$6:$P$197, MATCH($B123&amp;"USD bn", Database!$AD$6:$AD$197, 0))), INDEX(Database!$P$6:$P$197, MATCH($B123&amp;"USD bn", Database!$AD$6:$AD$197, 0)), "")</f>
        <v>28.720587575354124</v>
      </c>
      <c r="I123" s="837">
        <f>IF(ISNUMBER(INDEX(Database!$Q$6:$Q$197, MATCH($B123&amp;"USD bn", Database!$AD$6:$AD$197, 0))), INDEX(Database!$Q$6:$Q$197, MATCH($B123&amp;"USD bn", Database!$AD$6:$AD$197, 0)), "")</f>
        <v>9.7444850702094339</v>
      </c>
      <c r="J123" s="837"/>
      <c r="K123" s="837">
        <f>IF(ISNUMBER(INDEX(Database!$U$6:$U$197, MATCH($B123&amp;"USD bn", Database!$AD$6:$AD$197, 0))), INDEX(Database!$U$6:$U$197, MATCH($B123&amp;"USD bn", Database!$AD$6:$AD$197, 0)), "")</f>
        <v>18.976102505144688</v>
      </c>
      <c r="L123" s="837" t="str">
        <f>IF(ISNUMBER(INDEX(Database!$W$6:$W$197, MATCH($B123&amp;"USD bn", Database!$AD$6:$AD$197, 0))), INDEX(Database!$W$6:$W$197, MATCH($B123&amp;"USD bn", Database!$AD$6:$AD$197, 0)), "")</f>
        <v/>
      </c>
      <c r="M123" s="817"/>
      <c r="N123" s="817"/>
      <c r="O123" s="835">
        <f>IF(ISNUMBER(INDEX(Database!$G$6:$G$197, MATCH($B123&amp;"% GDP", Database!$AD$6:$AD$197, 0))), INDEX(Database!$G$6:$G$197, MATCH($B123&amp;"% GDP", Database!$AD$6:$AD$197, 0)), "")</f>
        <v>6.463386978297736</v>
      </c>
      <c r="P123" s="836">
        <f>IF(ISNUMBER(INDEX(Database!$H$6:$H$197, MATCH($B123&amp;"% GDP", Database!$AD$6:$AD$197, 0))), INDEX(Database!$H$6:$H$197, MATCH($B123&amp;"% GDP", Database!$AD$6:$AD$197, 0)), "")</f>
        <v>0.63256849920756808</v>
      </c>
      <c r="Q123" s="836">
        <f>IF(ISNUMBER(INDEX(Database!$J$6:$J$197, MATCH($B123&amp;"% GDP", Database!$AD$6:$AD$197, 0))), INDEX(Database!$J$6:$J$197, MATCH($B123&amp;"% GDP", Database!$AD$6:$AD$197, 0)), "")</f>
        <v>5.8308184790901691</v>
      </c>
      <c r="R123" s="836" t="str">
        <f>IF(ISNUMBER(INDEX(Database!$L$6:$L$197, MATCH($B123&amp;"% GDP", Database!$AD$6:$AD$197, 0))), INDEX(Database!$L$6:$L$197, MATCH($B123&amp;"% GDP", Database!$AD$6:$AD$197, 0)), "")</f>
        <v/>
      </c>
      <c r="S123" s="836"/>
      <c r="T123" s="835">
        <f>IF(ISNUMBER(INDEX(Database!$P$6:$P$197, MATCH($B123&amp;"% GDP", Database!$AD$6:$AD$197, 0))), INDEX(Database!$P$6:$P$197, MATCH($B123&amp;"% GDP", Database!$AD$6:$AD$197, 0)), "")</f>
        <v>4.8195695177719475</v>
      </c>
      <c r="U123" s="836">
        <f>IF(ISNUMBER(INDEX(Database!$Q$6:$Q$197, MATCH($B123&amp;"% GDP", Database!$AD$6:$AD$197, 0))), INDEX(Database!$Q$6:$Q$197, MATCH($B123&amp;"% GDP", Database!$AD$6:$AD$197, 0)), "")</f>
        <v>1.6352110863869107</v>
      </c>
      <c r="V123" s="836"/>
      <c r="W123" s="836">
        <f>IF(ISNUMBER(INDEX(Database!$U$6:$U$197, MATCH($B123&amp;"% GDP", Database!$AD$6:$AD$197, 0))), INDEX(Database!$U$6:$U$197, MATCH($B123&amp;"% GDP", Database!$AD$6:$AD$197, 0)), "")</f>
        <v>3.184358431385037</v>
      </c>
      <c r="X123" s="836" t="str">
        <f>IF(ISNUMBER(INDEX(Database!$W$6:$W$197, MATCH($B123&amp;"% GDP", Database!$AD$6:$AD$197, 0))), INDEX(Database!$W$6:$W$197, MATCH($B123&amp;"% GDP", Database!$AD$6:$AD$197, 0)), "")</f>
        <v/>
      </c>
      <c r="AB123" s="562"/>
    </row>
    <row r="124" spans="2:28">
      <c r="B124" s="764" t="s">
        <v>1074</v>
      </c>
      <c r="C124" s="839">
        <v>0.36263736263736263</v>
      </c>
      <c r="D124" s="833" t="s">
        <v>452</v>
      </c>
      <c r="E124" s="833" t="s">
        <v>452</v>
      </c>
      <c r="F124" s="833" t="s">
        <v>452</v>
      </c>
      <c r="G124" s="837"/>
      <c r="H124" s="839" t="s">
        <v>452</v>
      </c>
      <c r="I124" s="833" t="s">
        <v>452</v>
      </c>
      <c r="J124" s="837"/>
      <c r="K124" s="833" t="s">
        <v>452</v>
      </c>
      <c r="L124" s="833" t="s">
        <v>452</v>
      </c>
      <c r="M124" s="817"/>
      <c r="N124" s="817"/>
      <c r="O124" s="839">
        <v>0.23542966175926955</v>
      </c>
      <c r="P124" s="833" t="s">
        <v>452</v>
      </c>
      <c r="Q124" s="833" t="s">
        <v>452</v>
      </c>
      <c r="R124" s="833" t="s">
        <v>452</v>
      </c>
      <c r="S124" s="832"/>
      <c r="T124" s="839" t="s">
        <v>452</v>
      </c>
      <c r="U124" s="833" t="s">
        <v>452</v>
      </c>
      <c r="V124" s="837"/>
      <c r="W124" s="833" t="s">
        <v>452</v>
      </c>
      <c r="X124" s="833" t="s">
        <v>452</v>
      </c>
      <c r="AB124" s="717"/>
    </row>
    <row r="125" spans="2:28">
      <c r="B125" s="764" t="s">
        <v>557</v>
      </c>
      <c r="C125" s="840">
        <f>IF(ISNUMBER(INDEX(Database!$G$6:$G$197, MATCH($B125&amp;"USD bn", Database!$AD$6:$AD$197, 0))), INDEX(Database!$G$6:$G$197, MATCH($B125&amp;"USD bn", Database!$AD$6:$AD$197, 0)), "")</f>
        <v>8.4825802752518751</v>
      </c>
      <c r="D125" s="837">
        <f>IF(ISNUMBER(INDEX(Database!$H$6:$H$197, MATCH($B125&amp;"USD bn", Database!$AD$6:$AD$197, 0))), INDEX(Database!$H$6:$H$197, MATCH($B125&amp;"USD bn", Database!$AD$6:$AD$197, 0)), "")</f>
        <v>2.3562722986810765</v>
      </c>
      <c r="E125" s="837">
        <f>IF(ISNUMBER(INDEX(Database!$J$6:$J$197, MATCH($B125&amp;"USD bn", Database!$AD$6:$AD$197, 0))), INDEX(Database!$J$6:$J$197, MATCH($B125&amp;"USD bn", Database!$AD$6:$AD$197, 0)), "")</f>
        <v>6.1263079765707982</v>
      </c>
      <c r="F125" s="833">
        <f>IF(ISNUMBER(INDEX(Database!$L$6:$L$197, MATCH($B125&amp;"USD bn", Database!$AD$6:$AD$197, 0))), INDEX(Database!$L$6:$L$197, MATCH($B125&amp;"USD bn", Database!$AD$6:$AD$197, 0)), "")</f>
        <v>0.54194262869664755</v>
      </c>
      <c r="G125" s="837"/>
      <c r="H125" s="840">
        <f>IF(ISNUMBER(INDEX(Database!$P$6:$P$197, MATCH($B125&amp;"USD bn", Database!$AD$6:$AD$197, 0))), INDEX(Database!$P$6:$P$197, MATCH($B125&amp;"USD bn", Database!$AD$6:$AD$197, 0)), "")</f>
        <v>10.391160837183547</v>
      </c>
      <c r="I125" s="837">
        <f>IF(ISNUMBER(INDEX(Database!$Q$6:$Q$197, MATCH($B125&amp;"USD bn", Database!$AD$6:$AD$197, 0))), INDEX(Database!$Q$6:$Q$197, MATCH($B125&amp;"USD bn", Database!$AD$6:$AD$197, 0)), "")</f>
        <v>0.40056629077578298</v>
      </c>
      <c r="J125" s="837"/>
      <c r="K125" s="837">
        <f>IF(ISNUMBER(INDEX(Database!$U$6:$U$197, MATCH($B125&amp;"USD bn", Database!$AD$6:$AD$197, 0))), INDEX(Database!$U$6:$U$197, MATCH($B125&amp;"USD bn", Database!$AD$6:$AD$197, 0)), "")</f>
        <v>9.9905945464077632</v>
      </c>
      <c r="L125" s="837" t="str">
        <f>IF(ISNUMBER(INDEX(Database!$W$6:$W$197, MATCH($B125&amp;"USD bn", Database!$AD$6:$AD$197, 0))), INDEX(Database!$W$6:$W$197, MATCH($B125&amp;"USD bn", Database!$AD$6:$AD$197, 0)), "")</f>
        <v/>
      </c>
      <c r="M125" s="817"/>
      <c r="N125" s="817"/>
      <c r="O125" s="835">
        <f>IF(ISNUMBER(INDEX(Database!$G$6:$G$197, MATCH($B125&amp;"% GDP", Database!$AD$6:$AD$197, 0))), INDEX(Database!$G$6:$G$197, MATCH($B125&amp;"% GDP", Database!$AD$6:$AD$197, 0)), "")</f>
        <v>3.4105481432975906</v>
      </c>
      <c r="P125" s="836">
        <f>IF(ISNUMBER(INDEX(Database!$H$6:$H$197, MATCH($B125&amp;"% GDP", Database!$AD$6:$AD$197, 0))), INDEX(Database!$H$6:$H$197, MATCH($B125&amp;"% GDP", Database!$AD$6:$AD$197, 0)), "")</f>
        <v>0.94737448424933068</v>
      </c>
      <c r="Q125" s="836">
        <f>IF(ISNUMBER(INDEX(Database!$J$6:$J$197, MATCH($B125&amp;"% GDP", Database!$AD$6:$AD$197, 0))), INDEX(Database!$J$6:$J$197, MATCH($B125&amp;"% GDP", Database!$AD$6:$AD$197, 0)), "")</f>
        <v>2.4631736590482598</v>
      </c>
      <c r="R125" s="836">
        <f>IF(ISNUMBER(INDEX(Database!$L$6:$L$197, MATCH($B125&amp;"% GDP", Database!$AD$6:$AD$197, 0))), INDEX(Database!$L$6:$L$197, MATCH($B125&amp;"% GDP", Database!$AD$6:$AD$197, 0)), "")</f>
        <v>0.21789613137734604</v>
      </c>
      <c r="S125" s="836"/>
      <c r="T125" s="835">
        <f>IF(ISNUMBER(INDEX(Database!$P$6:$P$197, MATCH($B125&amp;"% GDP", Database!$AD$6:$AD$197, 0))), INDEX(Database!$P$6:$P$197, MATCH($B125&amp;"% GDP", Database!$AD$6:$AD$197, 0)), "")</f>
        <v>4.1779214755395486</v>
      </c>
      <c r="U125" s="836">
        <f>IF(ISNUMBER(INDEX(Database!$Q$6:$Q$197, MATCH($B125&amp;"% GDP", Database!$AD$6:$AD$197, 0))), INDEX(Database!$Q$6:$Q$197, MATCH($B125&amp;"% GDP", Database!$AD$6:$AD$197, 0)), "")</f>
        <v>0.16105366232238622</v>
      </c>
      <c r="V125" s="836"/>
      <c r="W125" s="836">
        <f>IF(ISNUMBER(INDEX(Database!$U$6:$U$197, MATCH($B125&amp;"% GDP", Database!$AD$6:$AD$197, 0))), INDEX(Database!$U$6:$U$197, MATCH($B125&amp;"% GDP", Database!$AD$6:$AD$197, 0)), "")</f>
        <v>4.0168678132171625</v>
      </c>
      <c r="X125" s="836" t="str">
        <f>IF(ISNUMBER(INDEX(Database!$W$6:$W$197, MATCH($B125&amp;"% GDP", Database!$AD$6:$AD$197, 0))), INDEX(Database!$W$6:$W$197, MATCH($B125&amp;"% GDP", Database!$AD$6:$AD$197, 0)), "")</f>
        <v/>
      </c>
      <c r="AB125" s="562"/>
    </row>
    <row r="126" spans="2:28">
      <c r="B126" s="764" t="s">
        <v>1075</v>
      </c>
      <c r="C126" s="839">
        <v>5.743576428859723E-2</v>
      </c>
      <c r="D126" s="833">
        <v>7.6581019051462978E-3</v>
      </c>
      <c r="E126" s="833">
        <v>4.9777662383450938E-2</v>
      </c>
      <c r="F126" s="833">
        <v>1.9145254762865747E-2</v>
      </c>
      <c r="G126" s="837"/>
      <c r="H126" s="839">
        <v>2.2974305715438893E-2</v>
      </c>
      <c r="I126" s="833" t="s">
        <v>452</v>
      </c>
      <c r="J126" s="837"/>
      <c r="K126" s="833" t="s">
        <v>452</v>
      </c>
      <c r="L126" s="833">
        <v>2.2974305715438893E-2</v>
      </c>
      <c r="M126" s="817"/>
      <c r="N126" s="817"/>
      <c r="O126" s="839">
        <v>6.8413431986842177</v>
      </c>
      <c r="P126" s="833">
        <v>0.91217909315789569</v>
      </c>
      <c r="Q126" s="833">
        <v>5.929164105526322</v>
      </c>
      <c r="R126" s="833">
        <v>2.2804477328947392</v>
      </c>
      <c r="S126" s="832"/>
      <c r="T126" s="839">
        <v>2.7365372794736871</v>
      </c>
      <c r="U126" s="833" t="s">
        <v>452</v>
      </c>
      <c r="V126" s="837"/>
      <c r="W126" s="833" t="s">
        <v>452</v>
      </c>
      <c r="X126" s="833">
        <v>2.7365372794736871</v>
      </c>
      <c r="AB126" s="717"/>
    </row>
    <row r="127" spans="2:28">
      <c r="B127" s="764" t="s">
        <v>953</v>
      </c>
      <c r="C127" s="840">
        <f>IF(ISNUMBER(INDEX(Database!$G$6:$G$197, MATCH($B127&amp;"USD bn", Database!$AD$6:$AD$197, 0))), INDEX(Database!$G$6:$G$197, MATCH($B127&amp;"USD bn", Database!$AD$6:$AD$197, 0)), "")</f>
        <v>6.4363979597070609</v>
      </c>
      <c r="D127" s="837">
        <f>IF(ISNUMBER(INDEX(Database!$H$6:$H$197, MATCH($B127&amp;"USD bn", Database!$AD$6:$AD$197, 0))), INDEX(Database!$H$6:$H$197, MATCH($B127&amp;"USD bn", Database!$AD$6:$AD$197, 0)), "")</f>
        <v>1.2116713026556967</v>
      </c>
      <c r="E127" s="837">
        <f>IF(ISNUMBER(INDEX(Database!$J$6:$J$197, MATCH($B127&amp;"USD bn", Database!$AD$6:$AD$197, 0))), INDEX(Database!$J$6:$J$197, MATCH($B127&amp;"USD bn", Database!$AD$6:$AD$197, 0)), "")</f>
        <v>5.2247266570513649</v>
      </c>
      <c r="F127" s="833">
        <f>IF(ISNUMBER(INDEX(Database!$L$6:$L$197, MATCH($B127&amp;"USD bn", Database!$AD$6:$AD$197, 0))), INDEX(Database!$L$6:$L$197, MATCH($B127&amp;"USD bn", Database!$AD$6:$AD$197, 0)), "")</f>
        <v>1.434618822344345</v>
      </c>
      <c r="G127" s="837"/>
      <c r="H127" s="840">
        <f>IF(ISNUMBER(INDEX(Database!$P$6:$P$197, MATCH($B127&amp;"USD bn", Database!$AD$6:$AD$197, 0))), INDEX(Database!$P$6:$P$197, MATCH($B127&amp;"USD bn", Database!$AD$6:$AD$197, 0)), "")</f>
        <v>1.6963398237179754</v>
      </c>
      <c r="I127" s="837" t="str">
        <f>IF(ISNUMBER(INDEX(Database!$Q$6:$Q$197, MATCH($B127&amp;"USD bn", Database!$AD$6:$AD$197, 0))), INDEX(Database!$Q$6:$Q$197, MATCH($B127&amp;"USD bn", Database!$AD$6:$AD$197, 0)), "")</f>
        <v/>
      </c>
      <c r="J127" s="837"/>
      <c r="K127" s="837">
        <f>IF(ISNUMBER(INDEX(Database!$U$6:$U$197, MATCH($B127&amp;"USD bn", Database!$AD$6:$AD$197, 0))), INDEX(Database!$U$6:$U$197, MATCH($B127&amp;"USD bn", Database!$AD$6:$AD$197, 0)), "")</f>
        <v>1.6963398237179754</v>
      </c>
      <c r="L127" s="837">
        <f>IF(ISNUMBER(INDEX(Database!$W$6:$W$197, MATCH($B127&amp;"USD bn", Database!$AD$6:$AD$197, 0))), INDEX(Database!$W$6:$W$197, MATCH($B127&amp;"USD bn", Database!$AD$6:$AD$197, 0)), "")</f>
        <v>0</v>
      </c>
      <c r="M127" s="817"/>
      <c r="N127" s="817"/>
      <c r="O127" s="835">
        <f>IF(ISNUMBER(INDEX(Database!$G$6:$G$197, MATCH($B127&amp;"% GDP", Database!$AD$6:$AD$197, 0))), INDEX(Database!$G$6:$G$197, MATCH($B127&amp;"% GDP", Database!$AD$6:$AD$197, 0)), "")</f>
        <v>12.153288105042478</v>
      </c>
      <c r="P127" s="836">
        <f>IF(ISNUMBER(INDEX(Database!$H$6:$H$197, MATCH($B127&amp;"% GDP", Database!$AD$6:$AD$197, 0))), INDEX(Database!$H$6:$H$197, MATCH($B127&amp;"% GDP", Database!$AD$6:$AD$197, 0)), "")</f>
        <v>2.2878930920637197</v>
      </c>
      <c r="Q127" s="836">
        <f>IF(ISNUMBER(INDEX(Database!$J$6:$J$197, MATCH($B127&amp;"% GDP", Database!$AD$6:$AD$197, 0))), INDEX(Database!$J$6:$J$197, MATCH($B127&amp;"% GDP", Database!$AD$6:$AD$197, 0)), "")</f>
        <v>9.8653950129787589</v>
      </c>
      <c r="R127" s="836">
        <f>IF(ISNUMBER(INDEX(Database!$L$6:$L$197, MATCH($B127&amp;"% GDP", Database!$AD$6:$AD$197, 0))), INDEX(Database!$L$6:$L$197, MATCH($B127&amp;"% GDP", Database!$AD$6:$AD$197, 0)), "")</f>
        <v>2.708865421003444</v>
      </c>
      <c r="S127" s="836"/>
      <c r="T127" s="835">
        <f>IF(ISNUMBER(INDEX(Database!$P$6:$P$197, MATCH($B127&amp;"% GDP", Database!$AD$6:$AD$197, 0))), INDEX(Database!$P$6:$P$197, MATCH($B127&amp;"% GDP", Database!$AD$6:$AD$197, 0)), "")</f>
        <v>3.203050328889208</v>
      </c>
      <c r="U127" s="836" t="str">
        <f>IF(ISNUMBER(INDEX(Database!$Q$6:$Q$197, MATCH($B127&amp;"% GDP", Database!$AD$6:$AD$197, 0))), INDEX(Database!$Q$6:$Q$197, MATCH($B127&amp;"% GDP", Database!$AD$6:$AD$197, 0)), "")</f>
        <v/>
      </c>
      <c r="V127" s="836"/>
      <c r="W127" s="836">
        <f>IF(ISNUMBER(INDEX(Database!$U$6:$U$197, MATCH($B127&amp;"% GDP", Database!$AD$6:$AD$197, 0))), INDEX(Database!$U$6:$U$197, MATCH($B127&amp;"% GDP", Database!$AD$6:$AD$197, 0)), "")</f>
        <v>3.203050328889208</v>
      </c>
      <c r="X127" s="836">
        <f>IF(ISNUMBER(INDEX(Database!$W$6:$W$197, MATCH($B127&amp;"% GDP", Database!$AD$6:$AD$197, 0))), INDEX(Database!$W$6:$W$197, MATCH($B127&amp;"% GDP", Database!$AD$6:$AD$197, 0)), "")</f>
        <v>0</v>
      </c>
      <c r="AB127" s="717"/>
    </row>
    <row r="128" spans="2:28">
      <c r="B128" s="764" t="s">
        <v>1076</v>
      </c>
      <c r="C128" s="839">
        <v>6.99421965317919E-2</v>
      </c>
      <c r="D128" s="833">
        <v>6.3583815028901728E-3</v>
      </c>
      <c r="E128" s="833">
        <v>6.358381502890173E-2</v>
      </c>
      <c r="F128" s="833">
        <v>2.8901734104046241E-3</v>
      </c>
      <c r="G128" s="837"/>
      <c r="H128" s="839" t="s">
        <v>452</v>
      </c>
      <c r="I128" s="833" t="s">
        <v>452</v>
      </c>
      <c r="J128" s="837"/>
      <c r="K128" s="833" t="s">
        <v>452</v>
      </c>
      <c r="L128" s="833" t="s">
        <v>452</v>
      </c>
      <c r="M128" s="817"/>
      <c r="N128" s="817"/>
      <c r="O128" s="839">
        <v>5.8387378660658014</v>
      </c>
      <c r="P128" s="833">
        <v>0.53079435146052745</v>
      </c>
      <c r="Q128" s="833">
        <v>5.3079435146052738</v>
      </c>
      <c r="R128" s="833">
        <v>0.24127015975478522</v>
      </c>
      <c r="S128" s="832"/>
      <c r="T128" s="839" t="s">
        <v>452</v>
      </c>
      <c r="U128" s="833" t="s">
        <v>452</v>
      </c>
      <c r="V128" s="837"/>
      <c r="W128" s="833" t="s">
        <v>452</v>
      </c>
      <c r="X128" s="833" t="s">
        <v>452</v>
      </c>
      <c r="AB128" s="717"/>
    </row>
    <row r="129" spans="2:28" s="514" customFormat="1">
      <c r="B129" s="864" t="s">
        <v>1077</v>
      </c>
      <c r="C129" s="856">
        <v>0.6</v>
      </c>
      <c r="D129" s="855">
        <v>0.3</v>
      </c>
      <c r="E129" s="855">
        <v>0.3</v>
      </c>
      <c r="F129" s="855" t="s">
        <v>452</v>
      </c>
      <c r="G129" s="859"/>
      <c r="H129" s="856" t="s">
        <v>452</v>
      </c>
      <c r="I129" s="855" t="s">
        <v>452</v>
      </c>
      <c r="J129" s="859"/>
      <c r="K129" s="855" t="s">
        <v>452</v>
      </c>
      <c r="L129" s="855" t="s">
        <v>452</v>
      </c>
      <c r="M129" s="860"/>
      <c r="N129" s="860"/>
      <c r="O129" s="856">
        <v>0.7</v>
      </c>
      <c r="P129" s="855">
        <v>0.3</v>
      </c>
      <c r="Q129" s="855">
        <v>0.4</v>
      </c>
      <c r="R129" s="855" t="s">
        <v>452</v>
      </c>
      <c r="S129" s="866"/>
      <c r="T129" s="856" t="s">
        <v>452</v>
      </c>
      <c r="U129" s="855" t="s">
        <v>452</v>
      </c>
      <c r="V129" s="859"/>
      <c r="W129" s="855" t="s">
        <v>452</v>
      </c>
      <c r="X129" s="855" t="s">
        <v>452</v>
      </c>
      <c r="AB129" s="865"/>
    </row>
    <row r="130" spans="2:28">
      <c r="B130" s="764" t="s">
        <v>1078</v>
      </c>
      <c r="C130" s="839">
        <v>4.4444444444444439E-2</v>
      </c>
      <c r="D130" s="833">
        <v>7.4074074074074068E-3</v>
      </c>
      <c r="E130" s="833">
        <v>3.7037037037037035E-2</v>
      </c>
      <c r="F130" s="833" t="s">
        <v>452</v>
      </c>
      <c r="G130" s="837"/>
      <c r="H130" s="839" t="s">
        <v>452</v>
      </c>
      <c r="I130" s="833" t="s">
        <v>452</v>
      </c>
      <c r="J130" s="837"/>
      <c r="K130" s="833" t="s">
        <v>452</v>
      </c>
      <c r="L130" s="833" t="s">
        <v>452</v>
      </c>
      <c r="M130" s="817"/>
      <c r="N130" s="817"/>
      <c r="O130" s="839">
        <v>4.7324743668239595</v>
      </c>
      <c r="P130" s="833">
        <v>0.78874572780399332</v>
      </c>
      <c r="Q130" s="833">
        <v>3.9437286390199668</v>
      </c>
      <c r="R130" s="833" t="s">
        <v>452</v>
      </c>
      <c r="S130" s="832"/>
      <c r="T130" s="839" t="s">
        <v>452</v>
      </c>
      <c r="U130" s="833" t="s">
        <v>452</v>
      </c>
      <c r="V130" s="837"/>
      <c r="W130" s="833" t="s">
        <v>452</v>
      </c>
      <c r="X130" s="833" t="s">
        <v>452</v>
      </c>
      <c r="AB130" s="717"/>
    </row>
    <row r="131" spans="2:28">
      <c r="B131" s="864" t="s">
        <v>1079</v>
      </c>
      <c r="C131" s="856">
        <v>0.05</v>
      </c>
      <c r="D131" s="855">
        <v>0.01</v>
      </c>
      <c r="E131" s="855">
        <f>C131-D131</f>
        <v>0.04</v>
      </c>
      <c r="F131" s="833" t="s">
        <v>452</v>
      </c>
      <c r="G131" s="837"/>
      <c r="H131" s="839" t="s">
        <v>452</v>
      </c>
      <c r="I131" s="833" t="s">
        <v>452</v>
      </c>
      <c r="J131" s="837"/>
      <c r="K131" s="833" t="s">
        <v>452</v>
      </c>
      <c r="L131" s="833" t="s">
        <v>452</v>
      </c>
      <c r="M131" s="817"/>
      <c r="N131" s="817"/>
      <c r="O131" s="856">
        <v>2.9</v>
      </c>
      <c r="P131" s="855">
        <v>0.7</v>
      </c>
      <c r="Q131" s="855">
        <f>O131-P131</f>
        <v>2.2000000000000002</v>
      </c>
      <c r="R131" s="833" t="s">
        <v>452</v>
      </c>
      <c r="S131" s="832"/>
      <c r="T131" s="839" t="s">
        <v>452</v>
      </c>
      <c r="U131" s="833" t="s">
        <v>452</v>
      </c>
      <c r="V131" s="837"/>
      <c r="W131" s="833" t="s">
        <v>452</v>
      </c>
      <c r="X131" s="833" t="s">
        <v>452</v>
      </c>
      <c r="AB131" s="717"/>
    </row>
    <row r="132" spans="2:28">
      <c r="B132" s="764" t="s">
        <v>1080</v>
      </c>
      <c r="C132" s="839">
        <v>2.9629629629629627E-2</v>
      </c>
      <c r="D132" s="833">
        <v>3.7037037037037034E-3</v>
      </c>
      <c r="E132" s="833">
        <v>2.5925925925925925E-2</v>
      </c>
      <c r="F132" s="833" t="s">
        <v>452</v>
      </c>
      <c r="G132" s="837"/>
      <c r="H132" s="839" t="s">
        <v>452</v>
      </c>
      <c r="I132" s="833" t="s">
        <v>452</v>
      </c>
      <c r="J132" s="837"/>
      <c r="K132" s="833" t="s">
        <v>452</v>
      </c>
      <c r="L132" s="833" t="s">
        <v>452</v>
      </c>
      <c r="M132" s="817"/>
      <c r="N132" s="817"/>
      <c r="O132" s="839">
        <v>3.8109492405931289</v>
      </c>
      <c r="P132" s="833">
        <v>0.47636865507414111</v>
      </c>
      <c r="Q132" s="833">
        <v>3.3345805855189878</v>
      </c>
      <c r="R132" s="833" t="s">
        <v>452</v>
      </c>
      <c r="S132" s="832"/>
      <c r="T132" s="839" t="s">
        <v>452</v>
      </c>
      <c r="U132" s="833" t="s">
        <v>452</v>
      </c>
      <c r="V132" s="837"/>
      <c r="W132" s="833" t="s">
        <v>452</v>
      </c>
      <c r="X132" s="833" t="s">
        <v>452</v>
      </c>
      <c r="AB132" s="717"/>
    </row>
    <row r="133" spans="2:28">
      <c r="B133" s="764" t="s">
        <v>559</v>
      </c>
      <c r="C133" s="840">
        <f>IF(ISNUMBER(INDEX(Database!$G$6:$G$197, MATCH($B133&amp;"USD bn", Database!$AD$6:$AD$197, 0))), INDEX(Database!$G$6:$G$197, MATCH($B133&amp;"USD bn", Database!$AD$6:$AD$197, 0)), "")</f>
        <v>73.187651709336336</v>
      </c>
      <c r="D133" s="837" t="str">
        <f>IF(ISNUMBER(INDEX(Database!$H$6:$H$197, MATCH($B133&amp;"USD bn", Database!$AD$6:$AD$197, 0))), INDEX(Database!$H$6:$H$197, MATCH($B133&amp;"USD bn", Database!$AD$6:$AD$197, 0)), "")</f>
        <v/>
      </c>
      <c r="E133" s="837" t="str">
        <f>IF(ISNUMBER(INDEX(Database!$J$6:$J$197, MATCH($B133&amp;"USD bn", Database!$AD$6:$AD$197, 0))), INDEX(Database!$J$6:$J$197, MATCH($B133&amp;"USD bn", Database!$AD$6:$AD$197, 0)), "")</f>
        <v/>
      </c>
      <c r="F133" s="833" t="str">
        <f>IF(ISNUMBER(INDEX(Database!$L$6:$L$197, MATCH($B133&amp;"USD bn", Database!$AD$6:$AD$197, 0))), INDEX(Database!$L$6:$L$197, MATCH($B133&amp;"USD bn", Database!$AD$6:$AD$197, 0)), "")</f>
        <v/>
      </c>
      <c r="G133" s="837"/>
      <c r="H133" s="840">
        <f>IF(ISNUMBER(INDEX(Database!$P$6:$P$197, MATCH($B133&amp;"USD bn", Database!$AD$6:$AD$197, 0))), INDEX(Database!$P$6:$P$197, MATCH($B133&amp;"USD bn", Database!$AD$6:$AD$197, 0)), "")</f>
        <v>21.253182701619505</v>
      </c>
      <c r="I133" s="837">
        <f>IF(ISNUMBER(INDEX(Database!$Q$6:$Q$197, MATCH($B133&amp;"USD bn", Database!$AD$6:$AD$197, 0))), INDEX(Database!$Q$6:$Q$197, MATCH($B133&amp;"USD bn", Database!$AD$6:$AD$197, 0)), "")</f>
        <v>2.8763705911966246</v>
      </c>
      <c r="J133" s="837"/>
      <c r="K133" s="837">
        <f>IF(ISNUMBER(INDEX(Database!$U$6:$U$197, MATCH($B133&amp;"USD bn", Database!$AD$6:$AD$197, 0))), INDEX(Database!$U$6:$U$197, MATCH($B133&amp;"USD bn", Database!$AD$6:$AD$197, 0)), "")</f>
        <v>10.386893801543367</v>
      </c>
      <c r="L133" s="837">
        <f>IF(ISNUMBER(INDEX(Database!$W$6:$W$197, MATCH($B133&amp;"USD bn", Database!$AD$6:$AD$197, 0))), INDEX(Database!$W$6:$W$197, MATCH($B133&amp;"USD bn", Database!$AD$6:$AD$197, 0)), "")</f>
        <v>7.9899183088795134</v>
      </c>
      <c r="M133" s="817"/>
      <c r="N133" s="817"/>
      <c r="O133" s="835">
        <f>IF(ISNUMBER(INDEX(Database!$G$6:$G$197, MATCH($B133&amp;"% GDP", Database!$AD$6:$AD$197, 0))), INDEX(Database!$G$6:$G$197, MATCH($B133&amp;"% GDP", Database!$AD$6:$AD$197, 0)), "")</f>
        <v>14.587579816038515</v>
      </c>
      <c r="P133" s="836" t="str">
        <f>IF(ISNUMBER(INDEX(Database!$H$6:$H$197, MATCH($B133&amp;"% GDP", Database!$AD$6:$AD$197, 0))), INDEX(Database!$H$6:$H$197, MATCH($B133&amp;"% GDP", Database!$AD$6:$AD$197, 0)), "")</f>
        <v/>
      </c>
      <c r="Q133" s="836" t="str">
        <f>IF(ISNUMBER(INDEX(Database!$J$6:$J$197, MATCH($B133&amp;"% GDP", Database!$AD$6:$AD$197, 0))), INDEX(Database!$J$6:$J$197, MATCH($B133&amp;"% GDP", Database!$AD$6:$AD$197, 0)), "")</f>
        <v/>
      </c>
      <c r="R133" s="836" t="str">
        <f>IF(ISNUMBER(INDEX(Database!$L$6:$L$197, MATCH($B133&amp;"% GDP", Database!$AD$6:$AD$197, 0))), INDEX(Database!$L$6:$L$197, MATCH($B133&amp;"% GDP", Database!$AD$6:$AD$197, 0)), "")</f>
        <v/>
      </c>
      <c r="S133" s="836"/>
      <c r="T133" s="835">
        <f>IF(ISNUMBER(INDEX(Database!$P$6:$P$197, MATCH($B133&amp;"% GDP", Database!$AD$6:$AD$197, 0))), INDEX(Database!$P$6:$P$197, MATCH($B133&amp;"% GDP", Database!$AD$6:$AD$197, 0)), "")</f>
        <v>4.2361312566225386</v>
      </c>
      <c r="U133" s="836">
        <f>IF(ISNUMBER(INDEX(Database!$Q$6:$Q$197, MATCH($B133&amp;"% GDP", Database!$AD$6:$AD$197, 0))), INDEX(Database!$Q$6:$Q$197, MATCH($B133&amp;"% GDP", Database!$AD$6:$AD$197, 0)), "")</f>
        <v>0.57331099713688494</v>
      </c>
      <c r="V133" s="836"/>
      <c r="W133" s="836">
        <f>IF(ISNUMBER(INDEX(Database!$U$6:$U$197, MATCH($B133&amp;"% GDP", Database!$AD$6:$AD$197, 0))), INDEX(Database!$U$6:$U$197, MATCH($B133&amp;"% GDP", Database!$AD$6:$AD$197, 0)), "")</f>
        <v>2.0702897118831953</v>
      </c>
      <c r="X133" s="836">
        <f>IF(ISNUMBER(INDEX(Database!$W$6:$W$197, MATCH($B133&amp;"% GDP", Database!$AD$6:$AD$197, 0))), INDEX(Database!$W$6:$W$197, MATCH($B133&amp;"% GDP", Database!$AD$6:$AD$197, 0)), "")</f>
        <v>1.592530547602458</v>
      </c>
      <c r="AB133" s="562"/>
    </row>
    <row r="134" spans="2:28">
      <c r="B134" s="864" t="s">
        <v>1081</v>
      </c>
      <c r="C134" s="839">
        <v>2.644065210129673E-2</v>
      </c>
      <c r="D134" s="833">
        <v>8.8135507004322433E-3</v>
      </c>
      <c r="E134" s="833">
        <v>1.7627101400864487E-2</v>
      </c>
      <c r="F134" s="833" t="s">
        <v>452</v>
      </c>
      <c r="G134" s="837"/>
      <c r="H134" s="839" t="s">
        <v>452</v>
      </c>
      <c r="I134" s="833" t="s">
        <v>452</v>
      </c>
      <c r="J134" s="837"/>
      <c r="K134" s="833" t="s">
        <v>452</v>
      </c>
      <c r="L134" s="833" t="s">
        <v>452</v>
      </c>
      <c r="M134" s="817"/>
      <c r="N134" s="817"/>
      <c r="O134" s="839">
        <v>5.2324579383017786</v>
      </c>
      <c r="P134" s="855">
        <v>2</v>
      </c>
      <c r="Q134" s="855">
        <v>3.3</v>
      </c>
      <c r="R134" s="833" t="s">
        <v>452</v>
      </c>
      <c r="S134" s="832"/>
      <c r="T134" s="839" t="s">
        <v>452</v>
      </c>
      <c r="U134" s="833" t="s">
        <v>452</v>
      </c>
      <c r="V134" s="837"/>
      <c r="W134" s="833" t="s">
        <v>452</v>
      </c>
      <c r="X134" s="833" t="s">
        <v>452</v>
      </c>
      <c r="AB134" s="717"/>
    </row>
    <row r="135" spans="2:28">
      <c r="B135" s="864" t="s">
        <v>1082</v>
      </c>
      <c r="C135" s="856">
        <v>0.5</v>
      </c>
      <c r="D135" s="855">
        <v>0.02</v>
      </c>
      <c r="E135" s="855">
        <v>0.5</v>
      </c>
      <c r="F135" s="833" t="s">
        <v>452</v>
      </c>
      <c r="G135" s="837"/>
      <c r="H135" s="839" t="s">
        <v>452</v>
      </c>
      <c r="I135" s="833" t="s">
        <v>452</v>
      </c>
      <c r="J135" s="837"/>
      <c r="K135" s="833" t="s">
        <v>452</v>
      </c>
      <c r="L135" s="833" t="s">
        <v>452</v>
      </c>
      <c r="M135" s="817"/>
      <c r="N135" s="817"/>
      <c r="O135" s="856">
        <v>2.4</v>
      </c>
      <c r="P135" s="855">
        <v>0.1042711950874536</v>
      </c>
      <c r="Q135" s="855">
        <v>2.2999999999999998</v>
      </c>
      <c r="R135" s="833" t="s">
        <v>452</v>
      </c>
      <c r="S135" s="832"/>
      <c r="T135" s="839" t="s">
        <v>452</v>
      </c>
      <c r="U135" s="833" t="s">
        <v>452</v>
      </c>
      <c r="V135" s="837"/>
      <c r="W135" s="833" t="s">
        <v>452</v>
      </c>
      <c r="X135" s="833" t="s">
        <v>452</v>
      </c>
      <c r="AB135" s="717"/>
    </row>
    <row r="136" spans="2:28">
      <c r="B136" s="764" t="s">
        <v>30</v>
      </c>
      <c r="C136" s="840">
        <f>IF(ISNUMBER(INDEX(Database!$G$6:$G$197, MATCH($B136&amp;"USD bn", Database!$AD$6:$AD$197, 0))), INDEX(Database!$G$6:$G$197, MATCH($B136&amp;"USD bn", Database!$AD$6:$AD$197, 0)), "")</f>
        <v>1.0614213919969644</v>
      </c>
      <c r="D136" s="837">
        <f>IF(ISNUMBER(INDEX(Database!$H$6:$H$197, MATCH($B136&amp;"USD bn", Database!$AD$6:$AD$197, 0))), INDEX(Database!$H$6:$H$197, MATCH($B136&amp;"USD bn", Database!$AD$6:$AD$197, 0)), "")</f>
        <v>0.14045609709842577</v>
      </c>
      <c r="E136" s="837">
        <f>IF(ISNUMBER(INDEX(Database!$J$6:$J$197, MATCH($B136&amp;"USD bn", Database!$AD$6:$AD$197, 0))), INDEX(Database!$J$6:$J$197, MATCH($B136&amp;"USD bn", Database!$AD$6:$AD$197, 0)), "")</f>
        <v>0.92096529489853862</v>
      </c>
      <c r="F136" s="833">
        <f>IF(ISNUMBER(INDEX(Database!$L$6:$L$197, MATCH($B136&amp;"USD bn", Database!$AD$6:$AD$197, 0))), INDEX(Database!$L$6:$L$197, MATCH($B136&amp;"USD bn", Database!$AD$6:$AD$197, 0)), "")</f>
        <v>0.1066755167836145</v>
      </c>
      <c r="G136" s="837"/>
      <c r="H136" s="840">
        <f>IF(ISNUMBER(INDEX(Database!$P$6:$P$197, MATCH($B136&amp;"USD bn", Database!$AD$6:$AD$197, 0))), INDEX(Database!$P$6:$P$197, MATCH($B136&amp;"USD bn", Database!$AD$6:$AD$197, 0)), "")</f>
        <v>0.32002655035084349</v>
      </c>
      <c r="I136" s="837">
        <f>IF(ISNUMBER(INDEX(Database!$Q$6:$Q$197, MATCH($B136&amp;"USD bn", Database!$AD$6:$AD$197, 0))), INDEX(Database!$Q$6:$Q$197, MATCH($B136&amp;"USD bn", Database!$AD$6:$AD$197, 0)), "")</f>
        <v>0.24890953916176717</v>
      </c>
      <c r="J136" s="837"/>
      <c r="K136" s="837">
        <f>IF(ISNUMBER(INDEX(Database!$U$6:$U$197, MATCH($B136&amp;"USD bn", Database!$AD$6:$AD$197, 0))), INDEX(Database!$U$6:$U$197, MATCH($B136&amp;"USD bn", Database!$AD$6:$AD$197, 0)), "")</f>
        <v>7.1117011189076346E-2</v>
      </c>
      <c r="L136" s="837" t="str">
        <f>IF(ISNUMBER(INDEX(Database!$W$6:$W$197, MATCH($B136&amp;"USD bn", Database!$AD$6:$AD$197, 0))), INDEX(Database!$W$6:$W$197, MATCH($B136&amp;"USD bn", Database!$AD$6:$AD$197, 0)), "")</f>
        <v/>
      </c>
      <c r="M136" s="817"/>
      <c r="N136" s="817"/>
      <c r="O136" s="835">
        <f>IF(ISNUMBER(INDEX(Database!$G$6:$G$197, MATCH($B136&amp;"% GDP", Database!$AD$6:$AD$197, 0))), INDEX(Database!$G$6:$G$197, MATCH($B136&amp;"% GDP", Database!$AD$6:$AD$197, 0)), "")</f>
        <v>2.7063675838678867</v>
      </c>
      <c r="P136" s="836">
        <f>IF(ISNUMBER(INDEX(Database!$H$6:$H$197, MATCH($B136&amp;"% GDP", Database!$AD$6:$AD$197, 0))), INDEX(Database!$H$6:$H$197, MATCH($B136&amp;"% GDP", Database!$AD$6:$AD$197, 0)), "")</f>
        <v>0.35812904376141214</v>
      </c>
      <c r="Q136" s="836">
        <f>IF(ISNUMBER(INDEX(Database!$J$6:$J$197, MATCH($B136&amp;"% GDP", Database!$AD$6:$AD$197, 0))), INDEX(Database!$J$6:$J$197, MATCH($B136&amp;"% GDP", Database!$AD$6:$AD$197, 0)), "")</f>
        <v>2.3482385401064745</v>
      </c>
      <c r="R136" s="836">
        <f>IF(ISNUMBER(INDEX(Database!$L$6:$L$197, MATCH($B136&amp;"% GDP", Database!$AD$6:$AD$197, 0))), INDEX(Database!$L$6:$L$197, MATCH($B136&amp;"% GDP", Database!$AD$6:$AD$197, 0)), "")</f>
        <v>0.27199674209727503</v>
      </c>
      <c r="S136" s="836"/>
      <c r="T136" s="835">
        <f>IF(ISNUMBER(INDEX(Database!$P$6:$P$197, MATCH($B136&amp;"% GDP", Database!$AD$6:$AD$197, 0))), INDEX(Database!$P$6:$P$197, MATCH($B136&amp;"% GDP", Database!$AD$6:$AD$197, 0)), "")</f>
        <v>0.81599022629182516</v>
      </c>
      <c r="U136" s="836">
        <f>IF(ISNUMBER(INDEX(Database!$Q$6:$Q$197, MATCH($B136&amp;"% GDP", Database!$AD$6:$AD$197, 0))), INDEX(Database!$Q$6:$Q$197, MATCH($B136&amp;"% GDP", Database!$AD$6:$AD$197, 0)), "")</f>
        <v>0.63465906489364177</v>
      </c>
      <c r="V136" s="836"/>
      <c r="W136" s="836">
        <f>IF(ISNUMBER(INDEX(Database!$U$6:$U$197, MATCH($B136&amp;"% GDP", Database!$AD$6:$AD$197, 0))), INDEX(Database!$U$6:$U$197, MATCH($B136&amp;"% GDP", Database!$AD$6:$AD$197, 0)), "")</f>
        <v>0.18133116139818339</v>
      </c>
      <c r="X136" s="836" t="str">
        <f>IF(ISNUMBER(INDEX(Database!$W$6:$W$197, MATCH($B136&amp;"% GDP", Database!$AD$6:$AD$197, 0))), INDEX(Database!$W$6:$W$197, MATCH($B136&amp;"% GDP", Database!$AD$6:$AD$197, 0)), "")</f>
        <v/>
      </c>
      <c r="AB136" s="562"/>
    </row>
    <row r="137" spans="2:28">
      <c r="B137" s="764" t="s">
        <v>1083</v>
      </c>
      <c r="C137" s="839">
        <v>1.1428571428571429E-2</v>
      </c>
      <c r="D137" s="833">
        <v>1.1428571428571429E-2</v>
      </c>
      <c r="E137" s="833">
        <v>0</v>
      </c>
      <c r="F137" s="833" t="s">
        <v>452</v>
      </c>
      <c r="G137" s="837"/>
      <c r="H137" s="839">
        <v>1.1428571428571429E-2</v>
      </c>
      <c r="I137" s="833">
        <v>1.1428571428571429E-2</v>
      </c>
      <c r="J137" s="837"/>
      <c r="K137" s="833" t="s">
        <v>452</v>
      </c>
      <c r="L137" s="833" t="s">
        <v>452</v>
      </c>
      <c r="M137" s="817"/>
      <c r="N137" s="817"/>
      <c r="O137" s="839">
        <v>2.3837808027539514E-2</v>
      </c>
      <c r="P137" s="833">
        <v>2.3837808027539514E-2</v>
      </c>
      <c r="Q137" s="833">
        <v>0</v>
      </c>
      <c r="R137" s="833" t="s">
        <v>452</v>
      </c>
      <c r="S137" s="832"/>
      <c r="T137" s="839">
        <v>2.3837808027539514E-2</v>
      </c>
      <c r="U137" s="833">
        <v>2.3837808027539514E-2</v>
      </c>
      <c r="V137" s="837"/>
      <c r="W137" s="833" t="s">
        <v>452</v>
      </c>
      <c r="X137" s="833" t="s">
        <v>452</v>
      </c>
      <c r="AB137" s="717"/>
    </row>
    <row r="138" spans="2:28">
      <c r="B138" s="864" t="s">
        <v>1250</v>
      </c>
      <c r="C138" s="839">
        <v>9.8459464714514226E-3</v>
      </c>
      <c r="D138" s="833">
        <v>3.741459659151541E-3</v>
      </c>
      <c r="E138" s="833" t="s">
        <v>452</v>
      </c>
      <c r="F138" s="833" t="s">
        <v>452</v>
      </c>
      <c r="G138" s="837"/>
      <c r="H138" s="839" t="s">
        <v>452</v>
      </c>
      <c r="I138" s="833" t="s">
        <v>452</v>
      </c>
      <c r="J138" s="837"/>
      <c r="K138" s="833" t="s">
        <v>452</v>
      </c>
      <c r="L138" s="833" t="s">
        <v>452</v>
      </c>
      <c r="M138" s="817"/>
      <c r="N138" s="817"/>
      <c r="O138" s="839">
        <v>22.193879815702022</v>
      </c>
      <c r="P138" s="833">
        <v>8.4336743299667685</v>
      </c>
      <c r="Q138" s="833" t="s">
        <v>452</v>
      </c>
      <c r="R138" s="833" t="s">
        <v>452</v>
      </c>
      <c r="S138" s="832"/>
      <c r="T138" s="839" t="s">
        <v>452</v>
      </c>
      <c r="U138" s="833" t="s">
        <v>452</v>
      </c>
      <c r="V138" s="837"/>
      <c r="W138" s="833" t="s">
        <v>452</v>
      </c>
      <c r="X138" s="833" t="s">
        <v>452</v>
      </c>
      <c r="AB138" s="717"/>
    </row>
    <row r="139" spans="2:28">
      <c r="B139" s="764" t="s">
        <v>1084</v>
      </c>
      <c r="C139" s="839">
        <v>4.3573021065572055</v>
      </c>
      <c r="D139" s="833">
        <v>1.1868397474631718</v>
      </c>
      <c r="E139" s="833">
        <v>3.1704623590940342</v>
      </c>
      <c r="F139" s="833" t="s">
        <v>452</v>
      </c>
      <c r="G139" s="837"/>
      <c r="H139" s="839" t="s">
        <v>452</v>
      </c>
      <c r="I139" s="833" t="s">
        <v>452</v>
      </c>
      <c r="J139" s="837"/>
      <c r="K139" s="833" t="s">
        <v>452</v>
      </c>
      <c r="L139" s="833" t="s">
        <v>452</v>
      </c>
      <c r="M139" s="817"/>
      <c r="N139" s="817"/>
      <c r="O139" s="839">
        <v>3.3446490892739087</v>
      </c>
      <c r="P139" s="833">
        <v>0.91101382997820313</v>
      </c>
      <c r="Q139" s="833">
        <v>2.4336352592957056</v>
      </c>
      <c r="R139" s="833" t="s">
        <v>452</v>
      </c>
      <c r="S139" s="832"/>
      <c r="T139" s="839" t="s">
        <v>452</v>
      </c>
      <c r="U139" s="833" t="s">
        <v>452</v>
      </c>
      <c r="V139" s="837"/>
      <c r="W139" s="833" t="s">
        <v>452</v>
      </c>
      <c r="X139" s="833" t="s">
        <v>452</v>
      </c>
      <c r="AB139" s="717"/>
    </row>
    <row r="140" spans="2:28">
      <c r="B140" s="764" t="s">
        <v>56</v>
      </c>
      <c r="C140" s="840">
        <f>IF(ISNUMBER(INDEX(Database!$G$6:$G$197, MATCH($B140&amp;"USD bn", Database!$AD$6:$AD$197, 0))), INDEX(Database!$G$6:$G$197, MATCH($B140&amp;"USD bn", Database!$AD$6:$AD$197, 0)), "")</f>
        <v>8.7134104833219883</v>
      </c>
      <c r="D140" s="837" t="str">
        <f>IF(ISNUMBER(INDEX(Database!$H$6:$H$197, MATCH($B140&amp;"USD bn", Database!$AD$6:$AD$197, 0))), INDEX(Database!$H$6:$H$197, MATCH($B140&amp;"USD bn", Database!$AD$6:$AD$197, 0)), "")</f>
        <v/>
      </c>
      <c r="E140" s="837" t="str">
        <f>IF(ISNUMBER(INDEX(Database!$J$6:$J$197, MATCH($B140&amp;"USD bn", Database!$AD$6:$AD$197, 0))), INDEX(Database!$J$6:$J$197, MATCH($B140&amp;"USD bn", Database!$AD$6:$AD$197, 0)), "")</f>
        <v/>
      </c>
      <c r="F140" s="833" t="str">
        <f>IF(ISNUMBER(INDEX(Database!$L$6:$L$197, MATCH($B140&amp;"USD bn", Database!$AD$6:$AD$197, 0))), INDEX(Database!$L$6:$L$197, MATCH($B140&amp;"USD bn", Database!$AD$6:$AD$197, 0)), "")</f>
        <v/>
      </c>
      <c r="G140" s="837"/>
      <c r="H140" s="840" t="str">
        <f>IF(ISNUMBER(INDEX(Database!$P$6:$P$197, MATCH($B140&amp;"USD bn", Database!$AD$6:$AD$197, 0))), INDEX(Database!$P$6:$P$197, MATCH($B140&amp;"USD bn", Database!$AD$6:$AD$197, 0)), "")</f>
        <v/>
      </c>
      <c r="I140" s="837" t="str">
        <f>IF(ISNUMBER(INDEX(Database!$Q$6:$Q$197, MATCH($B140&amp;"USD bn", Database!$AD$6:$AD$197, 0))), INDEX(Database!$Q$6:$Q$197, MATCH($B140&amp;"USD bn", Database!$AD$6:$AD$197, 0)), "")</f>
        <v/>
      </c>
      <c r="J140" s="837"/>
      <c r="K140" s="837" t="str">
        <f>IF(ISNUMBER(INDEX(Database!$U$6:$U$197, MATCH($B140&amp;"USD bn", Database!$AD$6:$AD$197, 0))), INDEX(Database!$U$6:$U$197, MATCH($B140&amp;"USD bn", Database!$AD$6:$AD$197, 0)), "")</f>
        <v/>
      </c>
      <c r="L140" s="837" t="str">
        <f>IF(ISNUMBER(INDEX(Database!$W$6:$W$197, MATCH($B140&amp;"USD bn", Database!$AD$6:$AD$197, 0))), INDEX(Database!$W$6:$W$197, MATCH($B140&amp;"USD bn", Database!$AD$6:$AD$197, 0)), "")</f>
        <v/>
      </c>
      <c r="M140" s="817"/>
      <c r="N140" s="817"/>
      <c r="O140" s="835">
        <f>IF(ISNUMBER(INDEX(Database!$G$6:$G$197, MATCH($B140&amp;"% GDP", Database!$AD$6:$AD$197, 0))), INDEX(Database!$G$6:$G$197, MATCH($B140&amp;"% GDP", Database!$AD$6:$AD$197, 0)), "")</f>
        <v>2.4280205714042915</v>
      </c>
      <c r="P140" s="836" t="str">
        <f>IF(ISNUMBER(INDEX(Database!$H$6:$H$197, MATCH($B140&amp;"% GDP", Database!$AD$6:$AD$197, 0))), INDEX(Database!$H$6:$H$197, MATCH($B140&amp;"% GDP", Database!$AD$6:$AD$197, 0)), "")</f>
        <v/>
      </c>
      <c r="Q140" s="836" t="str">
        <f>IF(ISNUMBER(INDEX(Database!$J$6:$J$197, MATCH($B140&amp;"% GDP", Database!$AD$6:$AD$197, 0))), INDEX(Database!$J$6:$J$197, MATCH($B140&amp;"% GDP", Database!$AD$6:$AD$197, 0)), "")</f>
        <v/>
      </c>
      <c r="R140" s="836" t="str">
        <f>IF(ISNUMBER(INDEX(Database!$L$6:$L$197, MATCH($B140&amp;"% GDP", Database!$AD$6:$AD$197, 0))), INDEX(Database!$L$6:$L$197, MATCH($B140&amp;"% GDP", Database!$AD$6:$AD$197, 0)), "")</f>
        <v/>
      </c>
      <c r="S140" s="836"/>
      <c r="T140" s="835" t="str">
        <f>IF(ISNUMBER(INDEX(Database!$P$6:$P$197, MATCH($B140&amp;"% GDP", Database!$AD$6:$AD$197, 0))), INDEX(Database!$P$6:$P$197, MATCH($B140&amp;"% GDP", Database!$AD$6:$AD$197, 0)), "")</f>
        <v/>
      </c>
      <c r="U140" s="836" t="str">
        <f>IF(ISNUMBER(INDEX(Database!$Q$6:$Q$197, MATCH($B140&amp;"% GDP", Database!$AD$6:$AD$197, 0))), INDEX(Database!$Q$6:$Q$197, MATCH($B140&amp;"% GDP", Database!$AD$6:$AD$197, 0)), "")</f>
        <v/>
      </c>
      <c r="V140" s="836"/>
      <c r="W140" s="836" t="str">
        <f>IF(ISNUMBER(INDEX(Database!$U$6:$U$197, MATCH($B140&amp;"% GDP", Database!$AD$6:$AD$197, 0))), INDEX(Database!$U$6:$U$197, MATCH($B140&amp;"% GDP", Database!$AD$6:$AD$197, 0)), "")</f>
        <v/>
      </c>
      <c r="X140" s="836" t="str">
        <f>IF(ISNUMBER(INDEX(Database!$W$6:$W$197, MATCH($B140&amp;"% GDP", Database!$AD$6:$AD$197, 0))), INDEX(Database!$W$6:$W$197, MATCH($B140&amp;"% GDP", Database!$AD$6:$AD$197, 0)), "")</f>
        <v/>
      </c>
      <c r="AB140" s="562"/>
    </row>
    <row r="141" spans="2:28">
      <c r="B141" s="764" t="s">
        <v>1085</v>
      </c>
      <c r="C141" s="839">
        <v>0.45085640448807185</v>
      </c>
      <c r="D141" s="833" t="s">
        <v>452</v>
      </c>
      <c r="E141" s="833" t="s">
        <v>452</v>
      </c>
      <c r="F141" s="833" t="s">
        <v>452</v>
      </c>
      <c r="G141" s="837"/>
      <c r="H141" s="839" t="s">
        <v>452</v>
      </c>
      <c r="I141" s="833" t="s">
        <v>452</v>
      </c>
      <c r="J141" s="837"/>
      <c r="K141" s="833" t="s">
        <v>452</v>
      </c>
      <c r="L141" s="833" t="s">
        <v>452</v>
      </c>
      <c r="M141" s="817"/>
      <c r="N141" s="817"/>
      <c r="O141" s="839">
        <v>0.84755460341570177</v>
      </c>
      <c r="P141" s="833" t="s">
        <v>452</v>
      </c>
      <c r="Q141" s="833" t="s">
        <v>452</v>
      </c>
      <c r="R141" s="833" t="s">
        <v>452</v>
      </c>
      <c r="S141" s="832"/>
      <c r="T141" s="839" t="s">
        <v>452</v>
      </c>
      <c r="U141" s="833" t="s">
        <v>452</v>
      </c>
      <c r="V141" s="837"/>
      <c r="W141" s="833" t="s">
        <v>452</v>
      </c>
      <c r="X141" s="833" t="s">
        <v>452</v>
      </c>
      <c r="AB141" s="717"/>
    </row>
    <row r="142" spans="2:28">
      <c r="B142" s="764" t="s">
        <v>1086</v>
      </c>
      <c r="C142" s="839">
        <v>3.8133206222645925E-2</v>
      </c>
      <c r="D142" s="833">
        <v>8.6666377778740731E-5</v>
      </c>
      <c r="E142" s="833">
        <v>3.8046539844867187E-2</v>
      </c>
      <c r="F142" s="833">
        <v>4.8533171556094813E-3</v>
      </c>
      <c r="G142" s="837"/>
      <c r="H142" s="839" t="s">
        <v>452</v>
      </c>
      <c r="I142" s="833">
        <v>0</v>
      </c>
      <c r="J142" s="837"/>
      <c r="K142" s="833" t="s">
        <v>452</v>
      </c>
      <c r="L142" s="833" t="s">
        <v>452</v>
      </c>
      <c r="M142" s="817"/>
      <c r="N142" s="817"/>
      <c r="O142" s="839">
        <v>4.4633010212011204</v>
      </c>
      <c r="P142" s="833">
        <v>1.0143865957275273E-2</v>
      </c>
      <c r="Q142" s="833">
        <v>4.4531571552438445</v>
      </c>
      <c r="R142" s="833">
        <v>0.56805649360741528</v>
      </c>
      <c r="S142" s="832"/>
      <c r="T142" s="839" t="s">
        <v>452</v>
      </c>
      <c r="U142" s="833">
        <v>0</v>
      </c>
      <c r="V142" s="837"/>
      <c r="W142" s="833" t="s">
        <v>452</v>
      </c>
      <c r="X142" s="833" t="s">
        <v>452</v>
      </c>
      <c r="AB142" s="717"/>
    </row>
    <row r="143" spans="2:28">
      <c r="B143" s="838" t="s">
        <v>871</v>
      </c>
      <c r="C143" s="840"/>
      <c r="D143" s="832"/>
      <c r="E143" s="832" t="str">
        <f>IF(ISNUMBER(INDEX(Database!$J$6:$J$197, MATCH($B143&amp;"USD bn", Database!$AD$6:$AD$197, 0))), INDEX(Database!$J$6:$J$197, MATCH($B143&amp;"USD bn", Database!$AD$6:$AD$197, 0)), "")</f>
        <v/>
      </c>
      <c r="F143" s="833" t="str">
        <f>IF(ISNUMBER(INDEX(Database!$L$6:$L$197, MATCH($B143&amp;"USD bn", Database!$AD$6:$AD$197, 0))), INDEX(Database!$L$6:$L$197, MATCH($B143&amp;"USD bn", Database!$AD$6:$AD$197, 0)), "")</f>
        <v/>
      </c>
      <c r="G143" s="832"/>
      <c r="H143" s="831" t="str">
        <f>IF(ISNUMBER(INDEX(Database!$P$6:$P$197, MATCH($B143&amp;"USD bn", Database!$AD$6:$AD$197, 0))), INDEX(Database!$P$6:$P$197, MATCH($B143&amp;"USD bn", Database!$AD$6:$AD$197, 0)), "")</f>
        <v/>
      </c>
      <c r="I143" s="837" t="str">
        <f>IF(ISNUMBER(INDEX(Database!$Q$6:$Q$197, MATCH($B143&amp;"USD bn", Database!$AD$6:$AD$197, 0))), INDEX(Database!$Q$6:$Q$197, MATCH($B143&amp;"USD bn", Database!$AD$6:$AD$197, 0)), "")</f>
        <v/>
      </c>
      <c r="J143" s="837"/>
      <c r="K143" s="837" t="str">
        <f>IF(ISNUMBER(INDEX(Database!$U$6:$U$197, MATCH($B143&amp;"USD bn", Database!$AD$6:$AD$197, 0))), INDEX(Database!$U$6:$U$197, MATCH($B143&amp;"USD bn", Database!$AD$6:$AD$197, 0)), "")</f>
        <v/>
      </c>
      <c r="L143" s="837" t="str">
        <f>IF(ISNUMBER(INDEX(Database!$W$6:$W$197, MATCH($B143&amp;"USD bn", Database!$AD$6:$AD$197, 0))), INDEX(Database!$W$6:$W$197, MATCH($B143&amp;"USD bn", Database!$AD$6:$AD$197, 0)), "")</f>
        <v/>
      </c>
      <c r="M143" s="817"/>
      <c r="N143" s="817"/>
      <c r="O143" s="835" t="str">
        <f>IF(ISNUMBER(INDEX(Database!$G$6:$G$197, MATCH($B143&amp;"% GDP", Database!$AD$6:$AD$197, 0))), INDEX(Database!$G$6:$G$197, MATCH($B143&amp;"% GDP", Database!$AD$6:$AD$197, 0)), "")</f>
        <v/>
      </c>
      <c r="P143" s="836" t="str">
        <f>IF(ISNUMBER(INDEX(Database!$H$6:$H$197, MATCH($B143&amp;"% GDP", Database!$AD$6:$AD$197, 0))), INDEX(Database!$H$6:$H$197, MATCH($B143&amp;"% GDP", Database!$AD$6:$AD$197, 0)), "")</f>
        <v/>
      </c>
      <c r="Q143" s="836" t="str">
        <f>IF(ISNUMBER(INDEX(Database!$J$6:$J$197, MATCH($B143&amp;"% GDP", Database!$AD$6:$AD$197, 0))), INDEX(Database!$J$6:$J$197, MATCH($B143&amp;"% GDP", Database!$AD$6:$AD$197, 0)), "")</f>
        <v/>
      </c>
      <c r="R143" s="836" t="str">
        <f>IF(ISNUMBER(INDEX(Database!$L$6:$L$197, MATCH($B143&amp;"% GDP", Database!$AD$6:$AD$197, 0))), INDEX(Database!$L$6:$L$197, MATCH($B143&amp;"% GDP", Database!$AD$6:$AD$197, 0)), "")</f>
        <v/>
      </c>
      <c r="S143" s="836"/>
      <c r="T143" s="835" t="str">
        <f>IF(ISNUMBER(INDEX(Database!$P$6:$P$197, MATCH($B143&amp;"% GDP", Database!$AD$6:$AD$197, 0))), INDEX(Database!$P$6:$P$197, MATCH($B143&amp;"% GDP", Database!$AD$6:$AD$197, 0)), "")</f>
        <v/>
      </c>
      <c r="U143" s="836" t="str">
        <f>IF(ISNUMBER(INDEX(Database!$Q$6:$Q$197, MATCH($B143&amp;"% GDP", Database!$AD$6:$AD$197, 0))), INDEX(Database!$Q$6:$Q$197, MATCH($B143&amp;"% GDP", Database!$AD$6:$AD$197, 0)), "")</f>
        <v/>
      </c>
      <c r="V143" s="836"/>
      <c r="W143" s="836" t="str">
        <f>IF(ISNUMBER(INDEX(Database!$U$6:$U$197, MATCH($B143&amp;"% GDP", Database!$AD$6:$AD$197, 0))), INDEX(Database!$U$6:$U$197, MATCH($B143&amp;"% GDP", Database!$AD$6:$AD$197, 0)), "")</f>
        <v/>
      </c>
      <c r="X143" s="836" t="str">
        <f>IF(ISNUMBER(INDEX(Database!$W$6:$W$197, MATCH($B143&amp;"% GDP", Database!$AD$6:$AD$197, 0))), INDEX(Database!$W$6:$W$197, MATCH($B143&amp;"% GDP", Database!$AD$6:$AD$197, 0)), "")</f>
        <v/>
      </c>
      <c r="AB143" s="565"/>
    </row>
    <row r="144" spans="2:28">
      <c r="B144" s="864" t="s">
        <v>1087</v>
      </c>
      <c r="C144" s="856">
        <v>0.28477378702802825</v>
      </c>
      <c r="D144" s="855">
        <v>8.0281100154544302E-2</v>
      </c>
      <c r="E144" s="855">
        <v>0.20449268687348396</v>
      </c>
      <c r="F144" s="855" t="s">
        <v>452</v>
      </c>
      <c r="G144" s="859"/>
      <c r="H144" s="856" t="s">
        <v>452</v>
      </c>
      <c r="I144" s="855" t="s">
        <v>452</v>
      </c>
      <c r="J144" s="859"/>
      <c r="K144" s="855" t="s">
        <v>452</v>
      </c>
      <c r="L144" s="855" t="s">
        <v>452</v>
      </c>
      <c r="M144" s="860"/>
      <c r="N144" s="860"/>
      <c r="O144" s="856">
        <v>1.4974346386597168</v>
      </c>
      <c r="P144" s="855">
        <v>0.42214454306249971</v>
      </c>
      <c r="Q144" s="855">
        <v>1.0752900955972171</v>
      </c>
      <c r="R144" s="855" t="s">
        <v>452</v>
      </c>
      <c r="S144" s="866"/>
      <c r="T144" s="856" t="s">
        <v>452</v>
      </c>
      <c r="U144" s="855" t="s">
        <v>452</v>
      </c>
      <c r="V144" s="859"/>
      <c r="W144" s="855" t="s">
        <v>452</v>
      </c>
      <c r="X144" s="855" t="s">
        <v>452</v>
      </c>
      <c r="AB144" s="717"/>
    </row>
    <row r="145" spans="2:28">
      <c r="B145" s="764" t="s">
        <v>37</v>
      </c>
      <c r="C145" s="840">
        <f>IF(ISNUMBER(INDEX(Database!$G$6:$G$197, MATCH($B145&amp;"USD bn", Database!$AD$6:$AD$197, 0))), INDEX(Database!$G$6:$G$197, MATCH($B145&amp;"USD bn", Database!$AD$6:$AD$197, 0)), "")</f>
        <v>7.4404955534436894</v>
      </c>
      <c r="D145" s="837">
        <f>IF(ISNUMBER(INDEX(Database!$H$6:$H$197, MATCH($B145&amp;"USD bn", Database!$AD$6:$AD$197, 0))), INDEX(Database!$H$6:$H$197, MATCH($B145&amp;"USD bn", Database!$AD$6:$AD$197, 0)), "")</f>
        <v>2.9836987447040832</v>
      </c>
      <c r="E145" s="837">
        <f>IF(ISNUMBER(INDEX(Database!$J$6:$J$197, MATCH($B145&amp;"USD bn", Database!$AD$6:$AD$197, 0))), INDEX(Database!$J$6:$J$197, MATCH($B145&amp;"USD bn", Database!$AD$6:$AD$197, 0)), "")</f>
        <v>4.4567968087396057</v>
      </c>
      <c r="F145" s="833" t="str">
        <f>IF(ISNUMBER(INDEX(Database!$L$6:$L$197, MATCH($B145&amp;"USD bn", Database!$AD$6:$AD$197, 0))), INDEX(Database!$L$6:$L$197, MATCH($B145&amp;"USD bn", Database!$AD$6:$AD$197, 0)), "")</f>
        <v/>
      </c>
      <c r="G145" s="837"/>
      <c r="H145" s="840">
        <f>IF(ISNUMBER(INDEX(Database!$P$6:$P$197, MATCH($B145&amp;"USD bn", Database!$AD$6:$AD$197, 0))), INDEX(Database!$P$6:$P$197, MATCH($B145&amp;"USD bn", Database!$AD$6:$AD$197, 0)), "")</f>
        <v>0.23586551341534254</v>
      </c>
      <c r="I145" s="837" t="str">
        <f>IF(ISNUMBER(INDEX(Database!$Q$6:$Q$197, MATCH($B145&amp;"USD bn", Database!$AD$6:$AD$197, 0))), INDEX(Database!$Q$6:$Q$197, MATCH($B145&amp;"USD bn", Database!$AD$6:$AD$197, 0)), "")</f>
        <v/>
      </c>
      <c r="J145" s="837"/>
      <c r="K145" s="837">
        <f>IF(ISNUMBER(INDEX(Database!$U$6:$U$197, MATCH($B145&amp;"USD bn", Database!$AD$6:$AD$197, 0))), INDEX(Database!$U$6:$U$197, MATCH($B145&amp;"USD bn", Database!$AD$6:$AD$197, 0)), "")</f>
        <v>0.23586551341534254</v>
      </c>
      <c r="L145" s="837" t="str">
        <f>IF(ISNUMBER(INDEX(Database!$W$6:$W$197, MATCH($B145&amp;"USD bn", Database!$AD$6:$AD$197, 0))), INDEX(Database!$W$6:$W$197, MATCH($B145&amp;"USD bn", Database!$AD$6:$AD$197, 0)), "")</f>
        <v/>
      </c>
      <c r="M145" s="817"/>
      <c r="N145" s="817"/>
      <c r="O145" s="835">
        <f>IF(ISNUMBER(INDEX(Database!$G$6:$G$197, MATCH($B145&amp;"% GDP", Database!$AD$6:$AD$197, 0))), INDEX(Database!$G$6:$G$197, MATCH($B145&amp;"% GDP", Database!$AD$6:$AD$197, 0)), "")</f>
        <v>2.3031524031183657</v>
      </c>
      <c r="P145" s="836">
        <f>IF(ISNUMBER(INDEX(Database!$H$6:$H$197, MATCH($B145&amp;"% GDP", Database!$AD$6:$AD$197, 0))), INDEX(Database!$H$6:$H$197, MATCH($B145&amp;"% GDP", Database!$AD$6:$AD$197, 0)), "")</f>
        <v>0.92358269482009558</v>
      </c>
      <c r="Q145" s="836">
        <f>IF(ISNUMBER(INDEX(Database!$J$6:$J$197, MATCH($B145&amp;"% GDP", Database!$AD$6:$AD$197, 0))), INDEX(Database!$J$6:$J$197, MATCH($B145&amp;"% GDP", Database!$AD$6:$AD$197, 0)), "")</f>
        <v>1.3795697082982701</v>
      </c>
      <c r="R145" s="836" t="str">
        <f>IF(ISNUMBER(INDEX(Database!$L$6:$L$197, MATCH($B145&amp;"% GDP", Database!$AD$6:$AD$197, 0))), INDEX(Database!$L$6:$L$197, MATCH($B145&amp;"% GDP", Database!$AD$6:$AD$197, 0)), "")</f>
        <v/>
      </c>
      <c r="S145" s="836"/>
      <c r="T145" s="835">
        <f>IF(ISNUMBER(INDEX(Database!$P$6:$P$197, MATCH($B145&amp;"% GDP", Database!$AD$6:$AD$197, 0))), INDEX(Database!$P$6:$P$197, MATCH($B145&amp;"% GDP", Database!$AD$6:$AD$197, 0)), "")</f>
        <v>7.3010489709098458E-2</v>
      </c>
      <c r="U145" s="836" t="str">
        <f>IF(ISNUMBER(INDEX(Database!$Q$6:$Q$197, MATCH($B145&amp;"% GDP", Database!$AD$6:$AD$197, 0))), INDEX(Database!$Q$6:$Q$197, MATCH($B145&amp;"% GDP", Database!$AD$6:$AD$197, 0)), "")</f>
        <v/>
      </c>
      <c r="V145" s="836"/>
      <c r="W145" s="836">
        <f>IF(ISNUMBER(INDEX(Database!$U$6:$U$197, MATCH($B145&amp;"% GDP", Database!$AD$6:$AD$197, 0))), INDEX(Database!$U$6:$U$197, MATCH($B145&amp;"% GDP", Database!$AD$6:$AD$197, 0)), "")</f>
        <v>7.3010489709098458E-2</v>
      </c>
      <c r="X145" s="836" t="str">
        <f>IF(ISNUMBER(INDEX(Database!$W$6:$W$197, MATCH($B145&amp;"% GDP", Database!$AD$6:$AD$197, 0))), INDEX(Database!$W$6:$W$197, MATCH($B145&amp;"% GDP", Database!$AD$6:$AD$197, 0)), "")</f>
        <v/>
      </c>
      <c r="AB145" s="562"/>
    </row>
    <row r="146" spans="2:28">
      <c r="B146" s="764" t="s">
        <v>1088</v>
      </c>
      <c r="C146" s="839">
        <v>0.25638093310252558</v>
      </c>
      <c r="D146" s="833">
        <v>7.6914279930757667E-2</v>
      </c>
      <c r="E146" s="833">
        <v>0.17946665317176791</v>
      </c>
      <c r="F146" s="833">
        <v>3.4184124413670074E-2</v>
      </c>
      <c r="G146" s="837"/>
      <c r="H146" s="839" t="s">
        <v>452</v>
      </c>
      <c r="I146" s="833">
        <v>0</v>
      </c>
      <c r="J146" s="837"/>
      <c r="K146" s="833" t="s">
        <v>452</v>
      </c>
      <c r="L146" s="833" t="s">
        <v>452</v>
      </c>
      <c r="M146" s="817"/>
      <c r="N146" s="817"/>
      <c r="O146" s="839">
        <v>1.7066517052075563</v>
      </c>
      <c r="P146" s="833">
        <v>0.51199551156226686</v>
      </c>
      <c r="Q146" s="833">
        <v>1.1946561936452893</v>
      </c>
      <c r="R146" s="833">
        <v>0.22755356069434082</v>
      </c>
      <c r="S146" s="832"/>
      <c r="T146" s="839" t="s">
        <v>452</v>
      </c>
      <c r="U146" s="833">
        <v>0</v>
      </c>
      <c r="V146" s="837"/>
      <c r="W146" s="833" t="s">
        <v>452</v>
      </c>
      <c r="X146" s="833" t="s">
        <v>452</v>
      </c>
      <c r="AB146" s="717"/>
    </row>
    <row r="147" spans="2:28">
      <c r="B147" s="764" t="s">
        <v>1089</v>
      </c>
      <c r="C147" s="839" t="s">
        <v>452</v>
      </c>
      <c r="D147" s="833" t="s">
        <v>452</v>
      </c>
      <c r="E147" s="833" t="s">
        <v>452</v>
      </c>
      <c r="F147" s="833" t="s">
        <v>452</v>
      </c>
      <c r="G147" s="837"/>
      <c r="H147" s="839" t="s">
        <v>452</v>
      </c>
      <c r="I147" s="833" t="s">
        <v>452</v>
      </c>
      <c r="J147" s="837"/>
      <c r="K147" s="833" t="s">
        <v>452</v>
      </c>
      <c r="L147" s="833" t="s">
        <v>452</v>
      </c>
      <c r="M147" s="817"/>
      <c r="N147" s="817"/>
      <c r="O147" s="839" t="s">
        <v>452</v>
      </c>
      <c r="P147" s="833" t="s">
        <v>452</v>
      </c>
      <c r="Q147" s="833" t="s">
        <v>452</v>
      </c>
      <c r="R147" s="833" t="s">
        <v>452</v>
      </c>
      <c r="S147" s="832"/>
      <c r="T147" s="839" t="s">
        <v>452</v>
      </c>
      <c r="U147" s="833" t="s">
        <v>452</v>
      </c>
      <c r="V147" s="837"/>
      <c r="W147" s="833" t="s">
        <v>452</v>
      </c>
      <c r="X147" s="833" t="s">
        <v>452</v>
      </c>
      <c r="AB147" s="717"/>
    </row>
    <row r="148" spans="2:28">
      <c r="B148" s="764" t="s">
        <v>1090</v>
      </c>
      <c r="C148" s="839">
        <v>0.67342725094930167</v>
      </c>
      <c r="D148" s="833">
        <v>0.30423870728166419</v>
      </c>
      <c r="E148" s="833">
        <v>0.36918854366763748</v>
      </c>
      <c r="F148" s="833" t="s">
        <v>452</v>
      </c>
      <c r="G148" s="837"/>
      <c r="H148" s="839" t="s">
        <v>452</v>
      </c>
      <c r="I148" s="833" t="s">
        <v>452</v>
      </c>
      <c r="J148" s="837"/>
      <c r="K148" s="833" t="s">
        <v>452</v>
      </c>
      <c r="L148" s="833" t="s">
        <v>452</v>
      </c>
      <c r="M148" s="817"/>
      <c r="N148" s="817"/>
      <c r="O148" s="839">
        <v>4.1732918313239358</v>
      </c>
      <c r="P148" s="833">
        <v>1.8853958019686816</v>
      </c>
      <c r="Q148" s="833">
        <v>2.2878960293552542</v>
      </c>
      <c r="R148" s="833" t="s">
        <v>452</v>
      </c>
      <c r="S148" s="832"/>
      <c r="T148" s="839" t="s">
        <v>452</v>
      </c>
      <c r="U148" s="833" t="s">
        <v>452</v>
      </c>
      <c r="V148" s="837"/>
      <c r="W148" s="833" t="s">
        <v>452</v>
      </c>
      <c r="X148" s="833" t="s">
        <v>452</v>
      </c>
      <c r="AB148" s="717"/>
    </row>
    <row r="149" spans="2:28">
      <c r="B149" s="764" t="s">
        <v>1091</v>
      </c>
      <c r="C149" s="839">
        <v>8.0325946096432968E-2</v>
      </c>
      <c r="D149" s="833">
        <v>7.437395911119471E-2</v>
      </c>
      <c r="E149" s="833">
        <v>5.9519869852382688E-3</v>
      </c>
      <c r="F149" s="833" t="s">
        <v>452</v>
      </c>
      <c r="G149" s="837"/>
      <c r="H149" s="839" t="s">
        <v>452</v>
      </c>
      <c r="I149" s="833" t="s">
        <v>452</v>
      </c>
      <c r="J149" s="837"/>
      <c r="K149" s="833" t="s">
        <v>452</v>
      </c>
      <c r="L149" s="833" t="s">
        <v>452</v>
      </c>
      <c r="M149" s="817"/>
      <c r="N149" s="817"/>
      <c r="O149" s="839">
        <v>2.6566671496387824</v>
      </c>
      <c r="P149" s="833">
        <v>2.4598135915147745</v>
      </c>
      <c r="Q149" s="833">
        <v>0.19685355812400773</v>
      </c>
      <c r="R149" s="833" t="s">
        <v>452</v>
      </c>
      <c r="S149" s="832"/>
      <c r="T149" s="839" t="s">
        <v>452</v>
      </c>
      <c r="U149" s="833" t="s">
        <v>452</v>
      </c>
      <c r="V149" s="837"/>
      <c r="W149" s="833" t="s">
        <v>452</v>
      </c>
      <c r="X149" s="833" t="s">
        <v>452</v>
      </c>
      <c r="AB149" s="717"/>
    </row>
    <row r="150" spans="2:28">
      <c r="B150" s="764" t="s">
        <v>1092</v>
      </c>
      <c r="C150" s="839">
        <v>5.8408716576144319E-2</v>
      </c>
      <c r="D150" s="833">
        <v>5.8408716576144319E-2</v>
      </c>
      <c r="E150" s="833">
        <v>0</v>
      </c>
      <c r="F150" s="833" t="s">
        <v>452</v>
      </c>
      <c r="G150" s="837"/>
      <c r="H150" s="839" t="s">
        <v>452</v>
      </c>
      <c r="I150" s="833" t="s">
        <v>452</v>
      </c>
      <c r="J150" s="837"/>
      <c r="K150" s="833" t="s">
        <v>452</v>
      </c>
      <c r="L150" s="833" t="s">
        <v>452</v>
      </c>
      <c r="M150" s="817"/>
      <c r="N150" s="817"/>
      <c r="O150" s="839">
        <v>0.22195334607922382</v>
      </c>
      <c r="P150" s="833">
        <v>0.22195334607922382</v>
      </c>
      <c r="Q150" s="833">
        <v>0</v>
      </c>
      <c r="R150" s="833" t="s">
        <v>452</v>
      </c>
      <c r="S150" s="832"/>
      <c r="T150" s="839" t="s">
        <v>452</v>
      </c>
      <c r="U150" s="833" t="s">
        <v>452</v>
      </c>
      <c r="V150" s="837"/>
      <c r="W150" s="833" t="s">
        <v>452</v>
      </c>
      <c r="X150" s="833" t="s">
        <v>452</v>
      </c>
      <c r="AB150" s="717"/>
    </row>
    <row r="151" spans="2:28">
      <c r="B151" s="764" t="s">
        <v>1093</v>
      </c>
      <c r="C151" s="839">
        <v>0.34184124413670136</v>
      </c>
      <c r="D151" s="833">
        <v>0.10033040515412185</v>
      </c>
      <c r="E151" s="833">
        <v>0.24151083898257952</v>
      </c>
      <c r="F151" s="833" t="s">
        <v>452</v>
      </c>
      <c r="G151" s="837"/>
      <c r="H151" s="839" t="s">
        <v>452</v>
      </c>
      <c r="I151" s="833" t="s">
        <v>452</v>
      </c>
      <c r="J151" s="837"/>
      <c r="K151" s="833" t="s">
        <v>452</v>
      </c>
      <c r="L151" s="833" t="s">
        <v>452</v>
      </c>
      <c r="M151" s="817"/>
      <c r="N151" s="817"/>
      <c r="O151" s="839">
        <v>0.89333183295371488</v>
      </c>
      <c r="P151" s="833">
        <v>0.26219289297191534</v>
      </c>
      <c r="Q151" s="833">
        <v>0.6311389399817996</v>
      </c>
      <c r="R151" s="833" t="s">
        <v>452</v>
      </c>
      <c r="S151" s="832"/>
      <c r="T151" s="839" t="s">
        <v>452</v>
      </c>
      <c r="U151" s="833" t="s">
        <v>452</v>
      </c>
      <c r="V151" s="837"/>
      <c r="W151" s="833" t="s">
        <v>452</v>
      </c>
      <c r="X151" s="833" t="s">
        <v>452</v>
      </c>
      <c r="AB151" s="717"/>
    </row>
    <row r="152" spans="2:28">
      <c r="B152" s="864" t="s">
        <v>1094</v>
      </c>
      <c r="C152" s="856">
        <v>2.6958800000000002E-2</v>
      </c>
      <c r="D152" s="855">
        <v>1.7004100000000001E-2</v>
      </c>
      <c r="E152" s="855">
        <v>9.9539999999999993E-3</v>
      </c>
      <c r="F152" s="833" t="s">
        <v>452</v>
      </c>
      <c r="G152" s="837"/>
      <c r="H152" s="839" t="s">
        <v>452</v>
      </c>
      <c r="I152" s="833" t="s">
        <v>452</v>
      </c>
      <c r="J152" s="837"/>
      <c r="K152" s="833" t="s">
        <v>452</v>
      </c>
      <c r="L152" s="833" t="s">
        <v>452</v>
      </c>
      <c r="M152" s="817"/>
      <c r="N152" s="817"/>
      <c r="O152" s="856">
        <v>1.161635</v>
      </c>
      <c r="P152" s="855">
        <v>0.73269499999999999</v>
      </c>
      <c r="Q152" s="855">
        <v>0.42893999999999999</v>
      </c>
      <c r="R152" s="833" t="s">
        <v>452</v>
      </c>
      <c r="S152" s="832"/>
      <c r="T152" s="839" t="s">
        <v>452</v>
      </c>
      <c r="U152" s="833" t="s">
        <v>452</v>
      </c>
      <c r="V152" s="837"/>
      <c r="W152" s="833" t="s">
        <v>452</v>
      </c>
      <c r="X152" s="833" t="s">
        <v>452</v>
      </c>
      <c r="AB152" s="717"/>
    </row>
    <row r="153" spans="2:28">
      <c r="B153" s="764" t="s">
        <v>1095</v>
      </c>
      <c r="C153" s="839">
        <v>0.5623288466048727</v>
      </c>
      <c r="D153" s="833">
        <v>7.1786661268707155E-2</v>
      </c>
      <c r="E153" s="833">
        <v>0.49054218533616561</v>
      </c>
      <c r="F153" s="833" t="s">
        <v>452</v>
      </c>
      <c r="G153" s="837"/>
      <c r="H153" s="839" t="s">
        <v>452</v>
      </c>
      <c r="I153" s="833" t="s">
        <v>452</v>
      </c>
      <c r="J153" s="837"/>
      <c r="K153" s="833" t="s">
        <v>452</v>
      </c>
      <c r="L153" s="833" t="s">
        <v>452</v>
      </c>
      <c r="M153" s="817"/>
      <c r="N153" s="817"/>
      <c r="O153" s="839">
        <v>5.3503537567146537</v>
      </c>
      <c r="P153" s="833">
        <v>0.68302388383591328</v>
      </c>
      <c r="Q153" s="833">
        <v>4.6673298728787405</v>
      </c>
      <c r="R153" s="833" t="s">
        <v>452</v>
      </c>
      <c r="S153" s="832"/>
      <c r="T153" s="839" t="s">
        <v>452</v>
      </c>
      <c r="U153" s="833" t="s">
        <v>452</v>
      </c>
      <c r="V153" s="837"/>
      <c r="W153" s="833" t="s">
        <v>452</v>
      </c>
      <c r="X153" s="833" t="s">
        <v>452</v>
      </c>
      <c r="AB153" s="717"/>
    </row>
    <row r="154" spans="2:28">
      <c r="B154" s="764" t="s">
        <v>1096</v>
      </c>
      <c r="C154" s="839">
        <v>3.4184124413670157E-2</v>
      </c>
      <c r="D154" s="833">
        <v>2.3700992926811309E-2</v>
      </c>
      <c r="E154" s="833">
        <v>1.0483131486858846E-2</v>
      </c>
      <c r="F154" s="833" t="s">
        <v>452</v>
      </c>
      <c r="G154" s="837"/>
      <c r="H154" s="839" t="s">
        <v>452</v>
      </c>
      <c r="I154" s="833" t="s">
        <v>452</v>
      </c>
      <c r="J154" s="837"/>
      <c r="K154" s="833" t="s">
        <v>452</v>
      </c>
      <c r="L154" s="833" t="s">
        <v>452</v>
      </c>
      <c r="M154" s="817"/>
      <c r="N154" s="817"/>
      <c r="O154" s="839">
        <v>2.8497673010600599</v>
      </c>
      <c r="P154" s="833">
        <v>1.9758386620683084</v>
      </c>
      <c r="Q154" s="833">
        <v>0.87392863899175177</v>
      </c>
      <c r="R154" s="833" t="s">
        <v>452</v>
      </c>
      <c r="S154" s="832"/>
      <c r="T154" s="839" t="s">
        <v>452</v>
      </c>
      <c r="U154" s="833" t="s">
        <v>452</v>
      </c>
      <c r="V154" s="837"/>
      <c r="W154" s="833" t="s">
        <v>452</v>
      </c>
      <c r="X154" s="833" t="s">
        <v>452</v>
      </c>
      <c r="AB154" s="717"/>
    </row>
    <row r="155" spans="2:28">
      <c r="B155" s="764" t="s">
        <v>1098</v>
      </c>
      <c r="C155" s="839">
        <v>0.23074283979227342</v>
      </c>
      <c r="D155" s="833" t="s">
        <v>452</v>
      </c>
      <c r="E155" s="833" t="s">
        <v>452</v>
      </c>
      <c r="F155" s="833" t="s">
        <v>452</v>
      </c>
      <c r="G155" s="837"/>
      <c r="H155" s="839">
        <v>4.273015551708767E-2</v>
      </c>
      <c r="I155" s="833" t="s">
        <v>452</v>
      </c>
      <c r="J155" s="837"/>
      <c r="K155" s="833">
        <v>4.273015551708767E-2</v>
      </c>
      <c r="L155" s="833" t="s">
        <v>452</v>
      </c>
      <c r="M155" s="817"/>
      <c r="N155" s="817"/>
      <c r="O155" s="839">
        <v>2.3157887007100353</v>
      </c>
      <c r="P155" s="833" t="s">
        <v>452</v>
      </c>
      <c r="Q155" s="833" t="s">
        <v>452</v>
      </c>
      <c r="R155" s="833" t="s">
        <v>452</v>
      </c>
      <c r="S155" s="832"/>
      <c r="T155" s="839">
        <v>0.42884975939074732</v>
      </c>
      <c r="U155" s="833" t="s">
        <v>452</v>
      </c>
      <c r="V155" s="837"/>
      <c r="W155" s="833">
        <v>0.42884975939074732</v>
      </c>
      <c r="X155" s="833" t="s">
        <v>452</v>
      </c>
      <c r="AB155" s="717"/>
    </row>
    <row r="156" spans="2:28">
      <c r="B156" s="764" t="s">
        <v>94</v>
      </c>
      <c r="C156" s="839">
        <v>1.1092748372235959</v>
      </c>
      <c r="D156" s="833">
        <v>0.16408379718561666</v>
      </c>
      <c r="E156" s="833">
        <v>0.94519104003797927</v>
      </c>
      <c r="F156" s="833" t="s">
        <v>452</v>
      </c>
      <c r="G156" s="837"/>
      <c r="H156" s="839" t="s">
        <v>452</v>
      </c>
      <c r="I156" s="833" t="s">
        <v>452</v>
      </c>
      <c r="J156" s="837"/>
      <c r="K156" s="833" t="s">
        <v>452</v>
      </c>
      <c r="L156" s="833" t="s">
        <v>452</v>
      </c>
      <c r="M156" s="817"/>
      <c r="N156" s="817"/>
      <c r="O156" s="839">
        <v>1.8390271265072529</v>
      </c>
      <c r="P156" s="833">
        <v>0.27202866586239799</v>
      </c>
      <c r="Q156" s="833">
        <v>1.5669984606448553</v>
      </c>
      <c r="R156" s="833" t="s">
        <v>452</v>
      </c>
      <c r="S156" s="832"/>
      <c r="T156" s="839" t="s">
        <v>452</v>
      </c>
      <c r="U156" s="833" t="s">
        <v>452</v>
      </c>
      <c r="V156" s="837"/>
      <c r="W156" s="833" t="s">
        <v>452</v>
      </c>
      <c r="X156" s="833" t="s">
        <v>452</v>
      </c>
      <c r="AB156" s="717"/>
    </row>
    <row r="157" spans="2:28">
      <c r="B157" s="764" t="s">
        <v>1097</v>
      </c>
      <c r="C157" s="839">
        <v>0.49593826368973154</v>
      </c>
      <c r="D157" s="833">
        <v>8.6518824818146309E-2</v>
      </c>
      <c r="E157" s="833">
        <v>0.40941943887158522</v>
      </c>
      <c r="F157" s="833" t="s">
        <v>452</v>
      </c>
      <c r="G157" s="837"/>
      <c r="H157" s="839" t="s">
        <v>452</v>
      </c>
      <c r="I157" s="833" t="s">
        <v>452</v>
      </c>
      <c r="J157" s="837"/>
      <c r="K157" s="833" t="s">
        <v>452</v>
      </c>
      <c r="L157" s="833" t="s">
        <v>452</v>
      </c>
      <c r="M157" s="817"/>
      <c r="N157" s="817"/>
      <c r="O157" s="839">
        <v>1.076677989256779</v>
      </c>
      <c r="P157" s="833">
        <v>0.1878316741382543</v>
      </c>
      <c r="Q157" s="833">
        <v>0.88884631511852474</v>
      </c>
      <c r="R157" s="833" t="s">
        <v>452</v>
      </c>
      <c r="S157" s="832"/>
      <c r="T157" s="839" t="s">
        <v>452</v>
      </c>
      <c r="U157" s="833" t="s">
        <v>452</v>
      </c>
      <c r="V157" s="837"/>
      <c r="W157" s="833" t="s">
        <v>452</v>
      </c>
      <c r="X157" s="833" t="s">
        <v>452</v>
      </c>
      <c r="AB157" s="717"/>
    </row>
    <row r="158" spans="2:28">
      <c r="B158" s="764" t="s">
        <v>1099</v>
      </c>
      <c r="C158" s="839">
        <v>8.2713916757164316E-2</v>
      </c>
      <c r="D158" s="833">
        <v>2.8133985291552491E-2</v>
      </c>
      <c r="E158" s="833">
        <v>5.4579931465611825E-2</v>
      </c>
      <c r="F158" s="833" t="s">
        <v>452</v>
      </c>
      <c r="G158" s="837"/>
      <c r="H158" s="839" t="s">
        <v>452</v>
      </c>
      <c r="I158" s="833" t="s">
        <v>452</v>
      </c>
      <c r="J158" s="837"/>
      <c r="K158" s="833" t="s">
        <v>452</v>
      </c>
      <c r="L158" s="833" t="s">
        <v>452</v>
      </c>
      <c r="M158" s="817"/>
      <c r="N158" s="817"/>
      <c r="O158" s="839">
        <v>2.4265188904902542</v>
      </c>
      <c r="P158" s="833">
        <v>0.82534656139124296</v>
      </c>
      <c r="Q158" s="833">
        <v>1.6011723290990112</v>
      </c>
      <c r="R158" s="833" t="s">
        <v>452</v>
      </c>
      <c r="S158" s="832"/>
      <c r="T158" s="839" t="s">
        <v>452</v>
      </c>
      <c r="U158" s="833" t="s">
        <v>452</v>
      </c>
      <c r="V158" s="837"/>
      <c r="W158" s="833" t="s">
        <v>452</v>
      </c>
      <c r="X158" s="833" t="s">
        <v>452</v>
      </c>
      <c r="AB158" s="717"/>
    </row>
    <row r="159" spans="2:28">
      <c r="B159" s="764" t="s">
        <v>1100</v>
      </c>
      <c r="C159" s="839" t="s">
        <v>452</v>
      </c>
      <c r="D159" s="833" t="s">
        <v>452</v>
      </c>
      <c r="E159" s="833" t="s">
        <v>452</v>
      </c>
      <c r="F159" s="833" t="s">
        <v>452</v>
      </c>
      <c r="G159" s="837"/>
      <c r="H159" s="839" t="s">
        <v>452</v>
      </c>
      <c r="I159" s="833" t="s">
        <v>452</v>
      </c>
      <c r="J159" s="837"/>
      <c r="K159" s="833" t="s">
        <v>452</v>
      </c>
      <c r="L159" s="833" t="s">
        <v>452</v>
      </c>
      <c r="M159" s="817"/>
      <c r="N159" s="817"/>
      <c r="O159" s="839" t="s">
        <v>452</v>
      </c>
      <c r="P159" s="833" t="s">
        <v>452</v>
      </c>
      <c r="Q159" s="833" t="s">
        <v>452</v>
      </c>
      <c r="R159" s="833" t="s">
        <v>452</v>
      </c>
      <c r="S159" s="832"/>
      <c r="T159" s="839" t="s">
        <v>452</v>
      </c>
      <c r="U159" s="833" t="s">
        <v>452</v>
      </c>
      <c r="V159" s="837"/>
      <c r="W159" s="833" t="s">
        <v>452</v>
      </c>
      <c r="X159" s="833" t="s">
        <v>452</v>
      </c>
      <c r="AB159" s="717"/>
    </row>
    <row r="160" spans="2:28">
      <c r="B160" s="764" t="s">
        <v>548</v>
      </c>
      <c r="C160" s="840">
        <f>IF(ISNUMBER(INDEX(Database!$G$6:$G$197, MATCH($B160&amp;"USD bn", Database!$AD$6:$AD$197, 0))), INDEX(Database!$G$6:$G$197, MATCH($B160&amp;"USD bn", Database!$AD$6:$AD$197, 0)), "")</f>
        <v>2.4164497040512201</v>
      </c>
      <c r="D160" s="837">
        <f>IF(ISNUMBER(INDEX(Database!$H$6:$H$197, MATCH($B160&amp;"USD bn", Database!$AD$6:$AD$197, 0))), INDEX(Database!$H$6:$H$197, MATCH($B160&amp;"USD bn", Database!$AD$6:$AD$197, 0)), "")</f>
        <v>0.60983861014562779</v>
      </c>
      <c r="E160" s="837">
        <f>IF(ISNUMBER(INDEX(Database!$J$6:$J$197, MATCH($B160&amp;"USD bn", Database!$AD$6:$AD$197, 0))), INDEX(Database!$J$6:$J$197, MATCH($B160&amp;"USD bn", Database!$AD$6:$AD$197, 0)), "")</f>
        <v>1.8066110939055922</v>
      </c>
      <c r="F160" s="833" t="str">
        <f>IF(ISNUMBER(INDEX(Database!$L$6:$L$197, MATCH($B160&amp;"USD bn", Database!$AD$6:$AD$197, 0))), INDEX(Database!$L$6:$L$197, MATCH($B160&amp;"USD bn", Database!$AD$6:$AD$197, 0)), "")</f>
        <v/>
      </c>
      <c r="G160" s="837"/>
      <c r="H160" s="840">
        <f>IF(ISNUMBER(INDEX(Database!$P$6:$P$197, MATCH($B160&amp;"USD bn", Database!$AD$6:$AD$197, 0))), INDEX(Database!$P$6:$P$197, MATCH($B160&amp;"USD bn", Database!$AD$6:$AD$197, 0)), "")</f>
        <v>0.60124933394639357</v>
      </c>
      <c r="I160" s="837">
        <f>IF(ISNUMBER(INDEX(Database!$Q$6:$Q$197, MATCH($B160&amp;"USD bn", Database!$AD$6:$AD$197, 0))), INDEX(Database!$Q$6:$Q$197, MATCH($B160&amp;"USD bn", Database!$AD$6:$AD$197, 0)), "")</f>
        <v>0.60124933394639357</v>
      </c>
      <c r="J160" s="837"/>
      <c r="K160" s="837" t="str">
        <f>IF(ISNUMBER(INDEX(Database!$U$6:$U$197, MATCH($B160&amp;"USD bn", Database!$AD$6:$AD$197, 0))), INDEX(Database!$U$6:$U$197, MATCH($B160&amp;"USD bn", Database!$AD$6:$AD$197, 0)), "")</f>
        <v/>
      </c>
      <c r="L160" s="837" t="str">
        <f>IF(ISNUMBER(INDEX(Database!$W$6:$W$197, MATCH($B160&amp;"USD bn", Database!$AD$6:$AD$197, 0))), INDEX(Database!$W$6:$W$197, MATCH($B160&amp;"USD bn", Database!$AD$6:$AD$197, 0)), "")</f>
        <v/>
      </c>
      <c r="M160" s="817"/>
      <c r="N160" s="817"/>
      <c r="O160" s="835">
        <f>IF(ISNUMBER(INDEX(Database!$G$6:$G$197, MATCH($B160&amp;"% GDP", Database!$AD$6:$AD$197, 0))), INDEX(Database!$G$6:$G$197, MATCH($B160&amp;"% GDP", Database!$AD$6:$AD$197, 0)), "")</f>
        <v>2.5012230728926022</v>
      </c>
      <c r="P160" s="836">
        <f>IF(ISNUMBER(INDEX(Database!$H$6:$H$197, MATCH($B160&amp;"% GDP", Database!$AD$6:$AD$197, 0))), INDEX(Database!$H$6:$H$197, MATCH($B160&amp;"% GDP", Database!$AD$6:$AD$197, 0)), "")</f>
        <v>0.63123283711626088</v>
      </c>
      <c r="Q160" s="836">
        <f>IF(ISNUMBER(INDEX(Database!$J$6:$J$197, MATCH($B160&amp;"% GDP", Database!$AD$6:$AD$197, 0))), INDEX(Database!$J$6:$J$197, MATCH($B160&amp;"% GDP", Database!$AD$6:$AD$197, 0)), "")</f>
        <v>1.8699902357763409</v>
      </c>
      <c r="R160" s="836" t="str">
        <f>IF(ISNUMBER(INDEX(Database!$L$6:$L$197, MATCH($B160&amp;"% GDP", Database!$AD$6:$AD$197, 0))), INDEX(Database!$L$6:$L$197, MATCH($B160&amp;"% GDP", Database!$AD$6:$AD$197, 0)), "")</f>
        <v/>
      </c>
      <c r="S160" s="836"/>
      <c r="T160" s="835">
        <f>IF(ISNUMBER(INDEX(Database!$P$6:$P$197, MATCH($B160&amp;"% GDP", Database!$AD$6:$AD$197, 0))), INDEX(Database!$P$6:$P$197, MATCH($B160&amp;"% GDP", Database!$AD$6:$AD$197, 0)), "")</f>
        <v>0.62234223377659526</v>
      </c>
      <c r="U160" s="836">
        <f>IF(ISNUMBER(INDEX(Database!$Q$6:$Q$197, MATCH($B160&amp;"% GDP", Database!$AD$6:$AD$197, 0))), INDEX(Database!$Q$6:$Q$197, MATCH($B160&amp;"% GDP", Database!$AD$6:$AD$197, 0)), "")</f>
        <v>0.62234223377659526</v>
      </c>
      <c r="V160" s="836"/>
      <c r="W160" s="836" t="str">
        <f>IF(ISNUMBER(INDEX(Database!$U$6:$U$197, MATCH($B160&amp;"% GDP", Database!$AD$6:$AD$197, 0))), INDEX(Database!$U$6:$U$197, MATCH($B160&amp;"% GDP", Database!$AD$6:$AD$197, 0)), "")</f>
        <v/>
      </c>
      <c r="X160" s="836" t="str">
        <f>IF(ISNUMBER(INDEX(Database!$W$6:$W$197, MATCH($B160&amp;"% GDP", Database!$AD$6:$AD$197, 0))), INDEX(Database!$W$6:$W$197, MATCH($B160&amp;"% GDP", Database!$AD$6:$AD$197, 0)), "")</f>
        <v/>
      </c>
      <c r="AB160" s="562"/>
    </row>
    <row r="161" spans="2:28">
      <c r="B161" s="764" t="s">
        <v>1101</v>
      </c>
      <c r="C161" s="839">
        <v>9.5898252335767705E-3</v>
      </c>
      <c r="D161" s="833">
        <v>9.5898252335767705E-3</v>
      </c>
      <c r="E161" s="833">
        <v>0</v>
      </c>
      <c r="F161" s="833" t="s">
        <v>452</v>
      </c>
      <c r="G161" s="837"/>
      <c r="H161" s="839" t="s">
        <v>452</v>
      </c>
      <c r="I161" s="833" t="s">
        <v>452</v>
      </c>
      <c r="J161" s="837"/>
      <c r="K161" s="833" t="s">
        <v>452</v>
      </c>
      <c r="L161" s="833" t="s">
        <v>452</v>
      </c>
      <c r="M161" s="817"/>
      <c r="N161" s="817"/>
      <c r="O161" s="839">
        <v>0.51504167038820781</v>
      </c>
      <c r="P161" s="833">
        <v>0.51504167038820781</v>
      </c>
      <c r="Q161" s="833">
        <v>0</v>
      </c>
      <c r="R161" s="833" t="s">
        <v>452</v>
      </c>
      <c r="S161" s="832"/>
      <c r="T161" s="839" t="s">
        <v>452</v>
      </c>
      <c r="U161" s="833" t="s">
        <v>452</v>
      </c>
      <c r="V161" s="837"/>
      <c r="W161" s="833" t="s">
        <v>452</v>
      </c>
      <c r="X161" s="833" t="s">
        <v>452</v>
      </c>
      <c r="AB161" s="717"/>
    </row>
    <row r="162" spans="2:28">
      <c r="B162" s="764" t="s">
        <v>550</v>
      </c>
      <c r="C162" s="840">
        <f>IF(ISNUMBER(INDEX(Database!$G$6:$G$197, MATCH($B162&amp;"USD bn", Database!$AD$6:$AD$197, 0))), INDEX(Database!$G$6:$G$197, MATCH($B162&amp;"USD bn", Database!$AD$6:$AD$197, 0)), "")</f>
        <v>2.2327431550550991</v>
      </c>
      <c r="D162" s="837">
        <f>IF(ISNUMBER(INDEX(Database!$H$6:$H$197, MATCH($B162&amp;"USD bn", Database!$AD$6:$AD$197, 0))), INDEX(Database!$H$6:$H$197, MATCH($B162&amp;"USD bn", Database!$AD$6:$AD$197, 0)), "")</f>
        <v>0.75020170009851339</v>
      </c>
      <c r="E162" s="837">
        <f>IF(ISNUMBER(INDEX(Database!$J$6:$J$197, MATCH($B162&amp;"USD bn", Database!$AD$6:$AD$197, 0))), INDEX(Database!$J$6:$J$197, MATCH($B162&amp;"USD bn", Database!$AD$6:$AD$197, 0)), "")</f>
        <v>1.4825414549565861</v>
      </c>
      <c r="F162" s="833" t="str">
        <f>IF(ISNUMBER(INDEX(Database!$L$6:$L$197, MATCH($B162&amp;"USD bn", Database!$AD$6:$AD$197, 0))), INDEX(Database!$L$6:$L$197, MATCH($B162&amp;"USD bn", Database!$AD$6:$AD$197, 0)), "")</f>
        <v/>
      </c>
      <c r="G162" s="837"/>
      <c r="H162" s="840">
        <f>IF(ISNUMBER(INDEX(Database!$P$6:$P$197, MATCH($B162&amp;"USD bn", Database!$AD$6:$AD$197, 0))), INDEX(Database!$P$6:$P$197, MATCH($B162&amp;"USD bn", Database!$AD$6:$AD$197, 0)), "")</f>
        <v>0.21434334288528953</v>
      </c>
      <c r="I162" s="837">
        <f>IF(ISNUMBER(INDEX(Database!$Q$6:$Q$197, MATCH($B162&amp;"USD bn", Database!$AD$6:$AD$197, 0))), INDEX(Database!$Q$6:$Q$197, MATCH($B162&amp;"USD bn", Database!$AD$6:$AD$197, 0)), "")</f>
        <v>0.21434334288528953</v>
      </c>
      <c r="J162" s="837"/>
      <c r="K162" s="837" t="str">
        <f>IF(ISNUMBER(INDEX(Database!$U$6:$U$197, MATCH($B162&amp;"USD bn", Database!$AD$6:$AD$197, 0))), INDEX(Database!$U$6:$U$197, MATCH($B162&amp;"USD bn", Database!$AD$6:$AD$197, 0)), "")</f>
        <v/>
      </c>
      <c r="L162" s="837" t="str">
        <f>IF(ISNUMBER(INDEX(Database!$W$6:$W$197, MATCH($B162&amp;"USD bn", Database!$AD$6:$AD$197, 0))), INDEX(Database!$W$6:$W$197, MATCH($B162&amp;"USD bn", Database!$AD$6:$AD$197, 0)), "")</f>
        <v/>
      </c>
      <c r="M162" s="817"/>
      <c r="N162" s="817"/>
      <c r="O162" s="835">
        <f>IF(ISNUMBER(INDEX(Database!$G$6:$G$197, MATCH($B162&amp;"% GDP", Database!$AD$6:$AD$197, 0))), INDEX(Database!$G$6:$G$197, MATCH($B162&amp;"% GDP", Database!$AD$6:$AD$197, 0)), "")</f>
        <v>3.2595714054750369</v>
      </c>
      <c r="P162" s="836">
        <f>IF(ISNUMBER(INDEX(Database!$H$6:$H$197, MATCH($B162&amp;"% GDP", Database!$AD$6:$AD$197, 0))), INDEX(Database!$H$6:$H$197, MATCH($B162&amp;"% GDP", Database!$AD$6:$AD$197, 0)), "")</f>
        <v>1.0952159922396125</v>
      </c>
      <c r="Q162" s="836">
        <f>IF(ISNUMBER(INDEX(Database!$J$6:$J$197, MATCH($B162&amp;"% GDP", Database!$AD$6:$AD$197, 0))), INDEX(Database!$J$6:$J$197, MATCH($B162&amp;"% GDP", Database!$AD$6:$AD$197, 0)), "")</f>
        <v>2.164355413235425</v>
      </c>
      <c r="R162" s="836" t="str">
        <f>IF(ISNUMBER(INDEX(Database!$L$6:$L$197, MATCH($B162&amp;"% GDP", Database!$AD$6:$AD$197, 0))), INDEX(Database!$L$6:$L$197, MATCH($B162&amp;"% GDP", Database!$AD$6:$AD$197, 0)), "")</f>
        <v/>
      </c>
      <c r="S162" s="836"/>
      <c r="T162" s="835">
        <f>IF(ISNUMBER(INDEX(Database!$P$6:$P$197, MATCH($B162&amp;"% GDP", Database!$AD$6:$AD$197, 0))), INDEX(Database!$P$6:$P$197, MATCH($B162&amp;"% GDP", Database!$AD$6:$AD$197, 0)), "")</f>
        <v>0.31291885492560356</v>
      </c>
      <c r="U162" s="836">
        <f>IF(ISNUMBER(INDEX(Database!$Q$6:$Q$197, MATCH($B162&amp;"% GDP", Database!$AD$6:$AD$197, 0))), INDEX(Database!$Q$6:$Q$197, MATCH($B162&amp;"% GDP", Database!$AD$6:$AD$197, 0)), "")</f>
        <v>0.31291885492560356</v>
      </c>
      <c r="V162" s="836"/>
      <c r="W162" s="836" t="str">
        <f>IF(ISNUMBER(INDEX(Database!$U$6:$U$197, MATCH($B162&amp;"% GDP", Database!$AD$6:$AD$197, 0))), INDEX(Database!$U$6:$U$197, MATCH($B162&amp;"% GDP", Database!$AD$6:$AD$197, 0)), "")</f>
        <v/>
      </c>
      <c r="X162" s="836" t="str">
        <f>IF(ISNUMBER(INDEX(Database!$W$6:$W$197, MATCH($B162&amp;"% GDP", Database!$AD$6:$AD$197, 0))), INDEX(Database!$W$6:$W$197, MATCH($B162&amp;"% GDP", Database!$AD$6:$AD$197, 0)), "")</f>
        <v/>
      </c>
      <c r="AB162" s="562"/>
    </row>
    <row r="163" spans="2:28">
      <c r="B163" s="764" t="s">
        <v>1102</v>
      </c>
      <c r="C163" s="839">
        <v>0.20278489178267939</v>
      </c>
      <c r="D163" s="833">
        <v>0.12763399533149508</v>
      </c>
      <c r="E163" s="833">
        <v>7.5150896451184307E-2</v>
      </c>
      <c r="F163" s="833" t="s">
        <v>452</v>
      </c>
      <c r="G163" s="837"/>
      <c r="H163" s="839">
        <v>7.1475037385637244E-3</v>
      </c>
      <c r="I163" s="833" t="s">
        <v>452</v>
      </c>
      <c r="J163" s="837"/>
      <c r="K163" s="833">
        <v>7.1475037385637244E-3</v>
      </c>
      <c r="L163" s="833" t="s">
        <v>452</v>
      </c>
      <c r="M163" s="817"/>
      <c r="N163" s="817"/>
      <c r="O163" s="839">
        <v>1.424205631090101</v>
      </c>
      <c r="P163" s="833">
        <v>0.8964033428311311</v>
      </c>
      <c r="Q163" s="833">
        <v>0.52780228825896991</v>
      </c>
      <c r="R163" s="833" t="s">
        <v>452</v>
      </c>
      <c r="S163" s="832"/>
      <c r="T163" s="839">
        <v>5.0198587198543344E-2</v>
      </c>
      <c r="U163" s="833" t="s">
        <v>452</v>
      </c>
      <c r="V163" s="837"/>
      <c r="W163" s="833">
        <v>5.0198587198543344E-2</v>
      </c>
      <c r="X163" s="833" t="s">
        <v>452</v>
      </c>
      <c r="AB163" s="717"/>
    </row>
    <row r="164" spans="2:28">
      <c r="B164" s="764" t="s">
        <v>566</v>
      </c>
      <c r="C164" s="840">
        <f>IF(ISNUMBER(INDEX(Database!$G$6:$G$197, MATCH($B164&amp;"USD bn", Database!$AD$6:$AD$197, 0))), INDEX(Database!$G$6:$G$197, MATCH($B164&amp;"USD bn", Database!$AD$6:$AD$197, 0)), "")</f>
        <v>9.6093184602259421E-2</v>
      </c>
      <c r="D164" s="837">
        <f>IF(ISNUMBER(INDEX(Database!$H$6:$H$197, MATCH($B164&amp;"USD bn", Database!$AD$6:$AD$197, 0))), INDEX(Database!$H$6:$H$197, MATCH($B164&amp;"USD bn", Database!$AD$6:$AD$197, 0)), "")</f>
        <v>8.4557826754839902E-2</v>
      </c>
      <c r="E164" s="837">
        <f>IF(ISNUMBER(INDEX(Database!$J$6:$J$197, MATCH($B164&amp;"USD bn", Database!$AD$6:$AD$197, 0))), INDEX(Database!$J$6:$J$197, MATCH($B164&amp;"USD bn", Database!$AD$6:$AD$197, 0)), "")</f>
        <v>1.1535357847419518E-2</v>
      </c>
      <c r="F164" s="833" t="str">
        <f>IF(ISNUMBER(INDEX(Database!$L$6:$L$197, MATCH($B164&amp;"USD bn", Database!$AD$6:$AD$197, 0))), INDEX(Database!$L$6:$L$197, MATCH($B164&amp;"USD bn", Database!$AD$6:$AD$197, 0)), "")</f>
        <v/>
      </c>
      <c r="G164" s="837"/>
      <c r="H164" s="840">
        <f>IF(ISNUMBER(INDEX(Database!$P$6:$P$197, MATCH($B164&amp;"USD bn", Database!$AD$6:$AD$197, 0))), INDEX(Database!$P$6:$P$197, MATCH($B164&amp;"USD bn", Database!$AD$6:$AD$197, 0)), "")</f>
        <v>2.609809467741972E-2</v>
      </c>
      <c r="I164" s="837">
        <f>IF(ISNUMBER(INDEX(Database!$Q$6:$Q$197, MATCH($B164&amp;"USD bn", Database!$AD$6:$AD$197, 0))), INDEX(Database!$Q$6:$Q$197, MATCH($B164&amp;"USD bn", Database!$AD$6:$AD$197, 0)), "")</f>
        <v>2.609809467741972E-2</v>
      </c>
      <c r="J164" s="837"/>
      <c r="K164" s="837" t="str">
        <f>IF(ISNUMBER(INDEX(Database!$U$6:$U$197, MATCH($B164&amp;"USD bn", Database!$AD$6:$AD$197, 0))), INDEX(Database!$U$6:$U$197, MATCH($B164&amp;"USD bn", Database!$AD$6:$AD$197, 0)), "")</f>
        <v/>
      </c>
      <c r="L164" s="837" t="str">
        <f>IF(ISNUMBER(INDEX(Database!$W$6:$W$197, MATCH($B164&amp;"USD bn", Database!$AD$6:$AD$197, 0))), INDEX(Database!$W$6:$W$197, MATCH($B164&amp;"USD bn", Database!$AD$6:$AD$197, 0)), "")</f>
        <v/>
      </c>
      <c r="M164" s="817"/>
      <c r="N164" s="817"/>
      <c r="O164" s="835">
        <f>IF(ISNUMBER(INDEX(Database!$G$6:$G$197, MATCH($B164&amp;"% GDP", Database!$AD$6:$AD$197, 0))), INDEX(Database!$G$6:$G$197, MATCH($B164&amp;"% GDP", Database!$AD$6:$AD$197, 0)), "")</f>
        <v>6.702226729381966</v>
      </c>
      <c r="P164" s="836">
        <f>IF(ISNUMBER(INDEX(Database!$H$6:$H$197, MATCH($B164&amp;"% GDP", Database!$AD$6:$AD$197, 0))), INDEX(Database!$H$6:$H$197, MATCH($B164&amp;"% GDP", Database!$AD$6:$AD$197, 0)), "")</f>
        <v>5.8976682789781556</v>
      </c>
      <c r="Q164" s="836">
        <f>IF(ISNUMBER(INDEX(Database!$J$6:$J$197, MATCH($B164&amp;"% GDP", Database!$AD$6:$AD$197, 0))), INDEX(Database!$J$6:$J$197, MATCH($B164&amp;"% GDP", Database!$AD$6:$AD$197, 0)), "")</f>
        <v>0.80455845040381013</v>
      </c>
      <c r="R164" s="836" t="str">
        <f>IF(ISNUMBER(INDEX(Database!$L$6:$L$197, MATCH($B164&amp;"% GDP", Database!$AD$6:$AD$197, 0))), INDEX(Database!$L$6:$L$197, MATCH($B164&amp;"% GDP", Database!$AD$6:$AD$197, 0)), "")</f>
        <v/>
      </c>
      <c r="S164" s="836"/>
      <c r="T164" s="835">
        <f>IF(ISNUMBER(INDEX(Database!$P$6:$P$197, MATCH($B164&amp;"% GDP", Database!$AD$6:$AD$197, 0))), INDEX(Database!$P$6:$P$197, MATCH($B164&amp;"% GDP", Database!$AD$6:$AD$197, 0)), "")</f>
        <v>1.8202679873389367</v>
      </c>
      <c r="U164" s="836">
        <f>IF(ISNUMBER(INDEX(Database!$Q$6:$Q$197, MATCH($B164&amp;"% GDP", Database!$AD$6:$AD$197, 0))), INDEX(Database!$Q$6:$Q$197, MATCH($B164&amp;"% GDP", Database!$AD$6:$AD$197, 0)), "")</f>
        <v>1.8202679873389367</v>
      </c>
      <c r="V164" s="836"/>
      <c r="W164" s="836" t="str">
        <f>IF(ISNUMBER(INDEX(Database!$U$6:$U$197, MATCH($B164&amp;"% GDP", Database!$AD$6:$AD$197, 0))), INDEX(Database!$U$6:$U$197, MATCH($B164&amp;"% GDP", Database!$AD$6:$AD$197, 0)), "")</f>
        <v/>
      </c>
      <c r="X164" s="836" t="str">
        <f>IF(ISNUMBER(INDEX(Database!$W$6:$W$197, MATCH($B164&amp;"% GDP", Database!$AD$6:$AD$197, 0))), INDEX(Database!$W$6:$W$197, MATCH($B164&amp;"% GDP", Database!$AD$6:$AD$197, 0)), "")</f>
        <v/>
      </c>
      <c r="AB164" s="562"/>
    </row>
    <row r="165" spans="2:28">
      <c r="B165" s="764" t="s">
        <v>1103</v>
      </c>
      <c r="C165" s="839">
        <v>0.12974106614115102</v>
      </c>
      <c r="D165" s="833">
        <v>3.7753308758946461E-2</v>
      </c>
      <c r="E165" s="833">
        <v>9.1987757382204563E-2</v>
      </c>
      <c r="F165" s="833" t="s">
        <v>452</v>
      </c>
      <c r="G165" s="837"/>
      <c r="H165" s="839" t="s">
        <v>452</v>
      </c>
      <c r="I165" s="833" t="s">
        <v>452</v>
      </c>
      <c r="J165" s="837"/>
      <c r="K165" s="833" t="s">
        <v>452</v>
      </c>
      <c r="L165" s="833" t="s">
        <v>452</v>
      </c>
      <c r="M165" s="817"/>
      <c r="N165" s="817"/>
      <c r="O165" s="839">
        <v>1.5772108885728484</v>
      </c>
      <c r="P165" s="833">
        <v>0.45895206063345811</v>
      </c>
      <c r="Q165" s="833">
        <v>1.1182588279393901</v>
      </c>
      <c r="R165" s="833" t="s">
        <v>452</v>
      </c>
      <c r="S165" s="832"/>
      <c r="T165" s="839" t="s">
        <v>452</v>
      </c>
      <c r="U165" s="833" t="s">
        <v>452</v>
      </c>
      <c r="V165" s="837"/>
      <c r="W165" s="833" t="s">
        <v>452</v>
      </c>
      <c r="X165" s="833" t="s">
        <v>452</v>
      </c>
      <c r="AB165" s="717"/>
    </row>
    <row r="166" spans="2:28">
      <c r="B166" s="764" t="s">
        <v>38</v>
      </c>
      <c r="C166" s="840">
        <f>IF(ISNUMBER(INDEX(Database!$G$6:$G$197, MATCH($B166&amp;"USD bn", Database!$AD$6:$AD$197, 0))), INDEX(Database!$G$6:$G$197, MATCH($B166&amp;"USD bn", Database!$AD$6:$AD$197, 0)), "")</f>
        <v>0.81767544130184866</v>
      </c>
      <c r="D166" s="837">
        <f>IF(ISNUMBER(INDEX(Database!$H$6:$H$197, MATCH($B166&amp;"USD bn", Database!$AD$6:$AD$197, 0))), INDEX(Database!$H$6:$H$197, MATCH($B166&amp;"USD bn", Database!$AD$6:$AD$197, 0)), "")</f>
        <v>0.51664070171808341</v>
      </c>
      <c r="E166" s="837">
        <f>IF(ISNUMBER(INDEX(Database!$J$6:$J$197, MATCH($B166&amp;"USD bn", Database!$AD$6:$AD$197, 0))), INDEX(Database!$J$6:$J$197, MATCH($B166&amp;"USD bn", Database!$AD$6:$AD$197, 0)), "")</f>
        <v>0.3010347395837652</v>
      </c>
      <c r="F166" s="833" t="str">
        <f>IF(ISNUMBER(INDEX(Database!$L$6:$L$197, MATCH($B166&amp;"USD bn", Database!$AD$6:$AD$197, 0))), INDEX(Database!$L$6:$L$197, MATCH($B166&amp;"USD bn", Database!$AD$6:$AD$197, 0)), "")</f>
        <v/>
      </c>
      <c r="G166" s="837"/>
      <c r="H166" s="840">
        <f>IF(ISNUMBER(INDEX(Database!$P$6:$P$197, MATCH($B166&amp;"USD bn", Database!$AD$6:$AD$197, 0))), INDEX(Database!$P$6:$P$197, MATCH($B166&amp;"USD bn", Database!$AD$6:$AD$197, 0)), "")</f>
        <v>0.27967754522140348</v>
      </c>
      <c r="I166" s="837" t="str">
        <f>IF(ISNUMBER(INDEX(Database!$Q$6:$Q$197, MATCH($B166&amp;"USD bn", Database!$AD$6:$AD$197, 0))), INDEX(Database!$Q$6:$Q$197, MATCH($B166&amp;"USD bn", Database!$AD$6:$AD$197, 0)), "")</f>
        <v/>
      </c>
      <c r="J166" s="837"/>
      <c r="K166" s="837">
        <f>IF(ISNUMBER(INDEX(Database!$U$6:$U$197, MATCH($B166&amp;"USD bn", Database!$AD$6:$AD$197, 0))), INDEX(Database!$U$6:$U$197, MATCH($B166&amp;"USD bn", Database!$AD$6:$AD$197, 0)), "")</f>
        <v>0.27967754522140348</v>
      </c>
      <c r="L166" s="837">
        <f>IF(ISNUMBER(INDEX(Database!$W$6:$W$197, MATCH($B166&amp;"USD bn", Database!$AD$6:$AD$197, 0))), INDEX(Database!$W$6:$W$197, MATCH($B166&amp;"USD bn", Database!$AD$6:$AD$197, 0)), "")</f>
        <v>0</v>
      </c>
      <c r="M166" s="817"/>
      <c r="N166" s="817"/>
      <c r="O166" s="835">
        <f>IF(ISNUMBER(INDEX(Database!$G$6:$G$197, MATCH($B166&amp;"% GDP", Database!$AD$6:$AD$197, 0))), INDEX(Database!$G$6:$G$197, MATCH($B166&amp;"% GDP", Database!$AD$6:$AD$197, 0)), "")</f>
        <v>3.43159415816337</v>
      </c>
      <c r="P166" s="836">
        <f>IF(ISNUMBER(INDEX(Database!$H$6:$H$197, MATCH($B166&amp;"% GDP", Database!$AD$6:$AD$197, 0))), INDEX(Database!$H$6:$H$197, MATCH($B166&amp;"% GDP", Database!$AD$6:$AD$197, 0)), "")</f>
        <v>2.1682211845111836</v>
      </c>
      <c r="Q166" s="836">
        <f>IF(ISNUMBER(INDEX(Database!$J$6:$J$197, MATCH($B166&amp;"% GDP", Database!$AD$6:$AD$197, 0))), INDEX(Database!$J$6:$J$197, MATCH($B166&amp;"% GDP", Database!$AD$6:$AD$197, 0)), "")</f>
        <v>1.2633729736521859</v>
      </c>
      <c r="R166" s="836" t="str">
        <f>IF(ISNUMBER(INDEX(Database!$L$6:$L$197, MATCH($B166&amp;"% GDP", Database!$AD$6:$AD$197, 0))), INDEX(Database!$L$6:$L$197, MATCH($B166&amp;"% GDP", Database!$AD$6:$AD$197, 0)), "")</f>
        <v/>
      </c>
      <c r="S166" s="836"/>
      <c r="T166" s="835">
        <f>IF(ISNUMBER(INDEX(Database!$P$6:$P$197, MATCH($B166&amp;"% GDP", Database!$AD$6:$AD$197, 0))), INDEX(Database!$P$6:$P$197, MATCH($B166&amp;"% GDP", Database!$AD$6:$AD$197, 0)), "")</f>
        <v>1.173741782953889</v>
      </c>
      <c r="U166" s="836" t="str">
        <f>IF(ISNUMBER(INDEX(Database!$Q$6:$Q$197, MATCH($B166&amp;"% GDP", Database!$AD$6:$AD$197, 0))), INDEX(Database!$Q$6:$Q$197, MATCH($B166&amp;"% GDP", Database!$AD$6:$AD$197, 0)), "")</f>
        <v/>
      </c>
      <c r="V166" s="836"/>
      <c r="W166" s="836">
        <f>IF(ISNUMBER(INDEX(Database!$U$6:$U$197, MATCH($B166&amp;"% GDP", Database!$AD$6:$AD$197, 0))), INDEX(Database!$U$6:$U$197, MATCH($B166&amp;"% GDP", Database!$AD$6:$AD$197, 0)), "")</f>
        <v>1.173741782953889</v>
      </c>
      <c r="X166" s="836">
        <f>IF(ISNUMBER(INDEX(Database!$W$6:$W$197, MATCH($B166&amp;"% GDP", Database!$AD$6:$AD$197, 0))), INDEX(Database!$W$6:$W$197, MATCH($B166&amp;"% GDP", Database!$AD$6:$AD$197, 0)), "")</f>
        <v>0</v>
      </c>
      <c r="AB166" s="562"/>
    </row>
    <row r="167" spans="2:28">
      <c r="B167" s="764" t="s">
        <v>552</v>
      </c>
      <c r="C167" s="840">
        <f>IF(ISNUMBER(INDEX(Database!$G$6:$G$197, MATCH($B167&amp;"USD bn", Database!$AD$6:$AD$197, 0))), INDEX(Database!$G$6:$G$197, MATCH($B167&amp;"USD bn", Database!$AD$6:$AD$197, 0)), "")</f>
        <v>2.5109136596508708</v>
      </c>
      <c r="D167" s="837">
        <f>IF(ISNUMBER(INDEX(Database!$H$6:$H$197, MATCH($B167&amp;"USD bn", Database!$AD$6:$AD$197, 0))), INDEX(Database!$H$6:$H$197, MATCH($B167&amp;"USD bn", Database!$AD$6:$AD$197, 0)), "")</f>
        <v>0.20575013296076938</v>
      </c>
      <c r="E167" s="837">
        <f>IF(ISNUMBER(INDEX(Database!$J$6:$J$197, MATCH($B167&amp;"USD bn", Database!$AD$6:$AD$197, 0))), INDEX(Database!$J$6:$J$197, MATCH($B167&amp;"USD bn", Database!$AD$6:$AD$197, 0)), "")</f>
        <v>2.3051635266901012</v>
      </c>
      <c r="F167" s="833">
        <f>IF(ISNUMBER(INDEX(Database!$L$6:$L$197, MATCH($B167&amp;"USD bn", Database!$AD$6:$AD$197, 0))), INDEX(Database!$L$6:$L$197, MATCH($B167&amp;"USD bn", Database!$AD$6:$AD$197, 0)), "")</f>
        <v>0.3143404809122865</v>
      </c>
      <c r="G167" s="837"/>
      <c r="H167" s="840" t="str">
        <f>IF(ISNUMBER(INDEX(Database!$P$6:$P$197, MATCH($B167&amp;"USD bn", Database!$AD$6:$AD$197, 0))), INDEX(Database!$P$6:$P$197, MATCH($B167&amp;"USD bn", Database!$AD$6:$AD$197, 0)), "")</f>
        <v/>
      </c>
      <c r="I167" s="837" t="str">
        <f>IF(ISNUMBER(INDEX(Database!$Q$6:$Q$197, MATCH($B167&amp;"USD bn", Database!$AD$6:$AD$197, 0))), INDEX(Database!$Q$6:$Q$197, MATCH($B167&amp;"USD bn", Database!$AD$6:$AD$197, 0)), "")</f>
        <v/>
      </c>
      <c r="J167" s="837"/>
      <c r="K167" s="837" t="str">
        <f>IF(ISNUMBER(INDEX(Database!$U$6:$U$197, MATCH($B167&amp;"USD bn", Database!$AD$6:$AD$197, 0))), INDEX(Database!$U$6:$U$197, MATCH($B167&amp;"USD bn", Database!$AD$6:$AD$197, 0)), "")</f>
        <v/>
      </c>
      <c r="L167" s="837" t="str">
        <f>IF(ISNUMBER(INDEX(Database!$W$6:$W$197, MATCH($B167&amp;"USD bn", Database!$AD$6:$AD$197, 0))), INDEX(Database!$W$6:$W$197, MATCH($B167&amp;"USD bn", Database!$AD$6:$AD$197, 0)), "")</f>
        <v/>
      </c>
      <c r="M167" s="817"/>
      <c r="N167" s="817"/>
      <c r="O167" s="835">
        <f>IF(ISNUMBER(INDEX(Database!$G$6:$G$197, MATCH($B167&amp;"% GDP", Database!$AD$6:$AD$197, 0))), INDEX(Database!$G$6:$G$197, MATCH($B167&amp;"% GDP", Database!$AD$6:$AD$197, 0)), "")</f>
        <v>2.4514108377373729</v>
      </c>
      <c r="P167" s="836">
        <f>IF(ISNUMBER(INDEX(Database!$H$6:$H$197, MATCH($B167&amp;"% GDP", Database!$AD$6:$AD$197, 0))), INDEX(Database!$H$6:$H$197, MATCH($B167&amp;"% GDP", Database!$AD$6:$AD$197, 0)), "")</f>
        <v>0.20087433268257682</v>
      </c>
      <c r="Q167" s="836">
        <f>IF(ISNUMBER(INDEX(Database!$J$6:$J$197, MATCH($B167&amp;"% GDP", Database!$AD$6:$AD$197, 0))), INDEX(Database!$J$6:$J$197, MATCH($B167&amp;"% GDP", Database!$AD$6:$AD$197, 0)), "")</f>
        <v>2.2505365050547956</v>
      </c>
      <c r="R167" s="836">
        <f>IF(ISNUMBER(INDEX(Database!$L$6:$L$197, MATCH($B167&amp;"% GDP", Database!$AD$6:$AD$197, 0))), INDEX(Database!$L$6:$L$197, MATCH($B167&amp;"% GDP", Database!$AD$6:$AD$197, 0)), "")</f>
        <v>0.30689134159838122</v>
      </c>
      <c r="S167" s="836"/>
      <c r="T167" s="835" t="str">
        <f>IF(ISNUMBER(INDEX(Database!$P$6:$P$197, MATCH($B167&amp;"% GDP", Database!$AD$6:$AD$197, 0))), INDEX(Database!$P$6:$P$197, MATCH($B167&amp;"% GDP", Database!$AD$6:$AD$197, 0)), "")</f>
        <v/>
      </c>
      <c r="U167" s="836" t="str">
        <f>IF(ISNUMBER(INDEX(Database!$Q$6:$Q$197, MATCH($B167&amp;"% GDP", Database!$AD$6:$AD$197, 0))), INDEX(Database!$Q$6:$Q$197, MATCH($B167&amp;"% GDP", Database!$AD$6:$AD$197, 0)), "")</f>
        <v/>
      </c>
      <c r="V167" s="836"/>
      <c r="W167" s="836" t="str">
        <f>IF(ISNUMBER(INDEX(Database!$U$6:$U$197, MATCH($B167&amp;"% GDP", Database!$AD$6:$AD$197, 0))), INDEX(Database!$U$6:$U$197, MATCH($B167&amp;"% GDP", Database!$AD$6:$AD$197, 0)), "")</f>
        <v/>
      </c>
      <c r="X167" s="836" t="str">
        <f>IF(ISNUMBER(INDEX(Database!$W$6:$W$197, MATCH($B167&amp;"% GDP", Database!$AD$6:$AD$197, 0))), INDEX(Database!$W$6:$W$197, MATCH($B167&amp;"% GDP", Database!$AD$6:$AD$197, 0)), "")</f>
        <v/>
      </c>
      <c r="AB167" s="562"/>
    </row>
    <row r="168" spans="2:28">
      <c r="B168" s="764" t="s">
        <v>1104</v>
      </c>
      <c r="C168" s="839">
        <v>1.962747158616112E-2</v>
      </c>
      <c r="D168" s="833">
        <v>6.5424905287203737E-3</v>
      </c>
      <c r="E168" s="833">
        <v>1.3084981057440746E-2</v>
      </c>
      <c r="F168" s="833" t="s">
        <v>452</v>
      </c>
      <c r="G168" s="837"/>
      <c r="H168" s="839" t="s">
        <v>452</v>
      </c>
      <c r="I168" s="833" t="s">
        <v>452</v>
      </c>
      <c r="J168" s="837"/>
      <c r="K168" s="833" t="s">
        <v>452</v>
      </c>
      <c r="L168" s="833" t="s">
        <v>452</v>
      </c>
      <c r="M168" s="817"/>
      <c r="N168" s="817"/>
      <c r="O168" s="839">
        <v>10.632960046420145</v>
      </c>
      <c r="P168" s="833">
        <v>3.5443200154733816</v>
      </c>
      <c r="Q168" s="833">
        <v>7.0886400309467623</v>
      </c>
      <c r="R168" s="833" t="s">
        <v>452</v>
      </c>
      <c r="S168" s="832"/>
      <c r="T168" s="839" t="s">
        <v>452</v>
      </c>
      <c r="U168" s="833" t="s">
        <v>452</v>
      </c>
      <c r="V168" s="837"/>
      <c r="W168" s="833" t="s">
        <v>452</v>
      </c>
      <c r="X168" s="833" t="s">
        <v>452</v>
      </c>
      <c r="AB168" s="717"/>
    </row>
    <row r="169" spans="2:28">
      <c r="B169" s="864" t="s">
        <v>1105</v>
      </c>
      <c r="C169" s="856">
        <f>SUM(D169:E169)</f>
        <v>0.31807473534169084</v>
      </c>
      <c r="D169" s="855">
        <v>2.7074735341690831E-2</v>
      </c>
      <c r="E169" s="855">
        <v>0.29099999999999998</v>
      </c>
      <c r="F169" s="833" t="s">
        <v>452</v>
      </c>
      <c r="G169" s="837"/>
      <c r="H169" s="856">
        <v>0.13339999999999999</v>
      </c>
      <c r="I169" s="855">
        <v>0.13339999999999999</v>
      </c>
      <c r="J169" s="837"/>
      <c r="K169" s="833" t="s">
        <v>452</v>
      </c>
      <c r="L169" s="833" t="s">
        <v>452</v>
      </c>
      <c r="M169" s="817"/>
      <c r="N169" s="817"/>
      <c r="O169" s="856">
        <f>SUM(P169:Q169)</f>
        <v>4.2</v>
      </c>
      <c r="P169" s="855">
        <v>0.3</v>
      </c>
      <c r="Q169" s="855">
        <v>3.9</v>
      </c>
      <c r="R169" s="833" t="s">
        <v>452</v>
      </c>
      <c r="S169" s="832"/>
      <c r="T169" s="856">
        <v>1.8</v>
      </c>
      <c r="U169" s="855">
        <v>1.8</v>
      </c>
      <c r="V169" s="837"/>
      <c r="W169" s="833" t="s">
        <v>452</v>
      </c>
      <c r="X169" s="833" t="s">
        <v>452</v>
      </c>
      <c r="AB169" s="717"/>
    </row>
    <row r="170" spans="2:28">
      <c r="B170" s="764" t="s">
        <v>1106</v>
      </c>
      <c r="C170" s="839">
        <v>3.1625194900115668E-3</v>
      </c>
      <c r="D170" s="833">
        <v>3.1625194900115668E-3</v>
      </c>
      <c r="E170" s="833">
        <v>0</v>
      </c>
      <c r="F170" s="833" t="s">
        <v>452</v>
      </c>
      <c r="G170" s="837"/>
      <c r="H170" s="839" t="s">
        <v>452</v>
      </c>
      <c r="I170" s="833" t="s">
        <v>452</v>
      </c>
      <c r="J170" s="837"/>
      <c r="K170" s="833" t="s">
        <v>452</v>
      </c>
      <c r="L170" s="833" t="s">
        <v>452</v>
      </c>
      <c r="M170" s="817"/>
      <c r="N170" s="817"/>
      <c r="O170" s="839">
        <v>1.6683666309876898E-2</v>
      </c>
      <c r="P170" s="833">
        <v>1.6683666309876898E-2</v>
      </c>
      <c r="Q170" s="833">
        <v>0</v>
      </c>
      <c r="R170" s="833" t="s">
        <v>452</v>
      </c>
      <c r="S170" s="832"/>
      <c r="T170" s="839" t="s">
        <v>452</v>
      </c>
      <c r="U170" s="833" t="s">
        <v>452</v>
      </c>
      <c r="V170" s="837"/>
      <c r="W170" s="833" t="s">
        <v>452</v>
      </c>
      <c r="X170" s="833" t="s">
        <v>452</v>
      </c>
      <c r="AB170" s="717"/>
    </row>
    <row r="171" spans="2:28">
      <c r="B171" s="764" t="s">
        <v>1107</v>
      </c>
      <c r="C171" s="839">
        <v>0.19429619131962464</v>
      </c>
      <c r="D171" s="833">
        <v>3.7779814978815898E-2</v>
      </c>
      <c r="E171" s="833">
        <v>0.15651637634080875</v>
      </c>
      <c r="F171" s="833" t="s">
        <v>452</v>
      </c>
      <c r="G171" s="837"/>
      <c r="H171" s="839">
        <v>2.428702391495308E-2</v>
      </c>
      <c r="I171" s="833" t="s">
        <v>452</v>
      </c>
      <c r="J171" s="837"/>
      <c r="K171" s="833">
        <v>2.428702391495308E-2</v>
      </c>
      <c r="L171" s="833" t="s">
        <v>452</v>
      </c>
      <c r="M171" s="817"/>
      <c r="N171" s="817"/>
      <c r="O171" s="839">
        <v>10.195750773987438</v>
      </c>
      <c r="P171" s="833">
        <v>1.9825070949420014</v>
      </c>
      <c r="Q171" s="833">
        <v>8.2132436790454353</v>
      </c>
      <c r="R171" s="833" t="s">
        <v>452</v>
      </c>
      <c r="S171" s="832"/>
      <c r="T171" s="839">
        <v>1.2744688467484298</v>
      </c>
      <c r="U171" s="833" t="s">
        <v>452</v>
      </c>
      <c r="V171" s="837"/>
      <c r="W171" s="833">
        <v>1.2744688467484298</v>
      </c>
      <c r="X171" s="833" t="s">
        <v>452</v>
      </c>
      <c r="AB171" s="717"/>
    </row>
    <row r="172" spans="2:28">
      <c r="B172" s="864" t="s">
        <v>1108</v>
      </c>
      <c r="C172" s="856">
        <v>8.6999999999999994E-2</v>
      </c>
      <c r="D172" s="855">
        <v>1.9E-2</v>
      </c>
      <c r="E172" s="855">
        <v>6.7000000000000004E-2</v>
      </c>
      <c r="F172" s="855" t="s">
        <v>452</v>
      </c>
      <c r="G172" s="859"/>
      <c r="H172" s="856">
        <v>1.7000000000000001E-2</v>
      </c>
      <c r="I172" s="855">
        <v>1.7000000000000001E-2</v>
      </c>
      <c r="J172" s="837"/>
      <c r="K172" s="833" t="s">
        <v>452</v>
      </c>
      <c r="L172" s="833" t="s">
        <v>452</v>
      </c>
      <c r="M172" s="817"/>
      <c r="N172" s="817"/>
      <c r="O172" s="856">
        <v>2.96</v>
      </c>
      <c r="P172" s="855">
        <v>0.66</v>
      </c>
      <c r="Q172" s="855">
        <v>2.31</v>
      </c>
      <c r="R172" s="833" t="s">
        <v>452</v>
      </c>
      <c r="S172" s="832"/>
      <c r="T172" s="839" t="s">
        <v>452</v>
      </c>
      <c r="U172" s="833" t="s">
        <v>452</v>
      </c>
      <c r="V172" s="837"/>
      <c r="W172" s="833" t="s">
        <v>452</v>
      </c>
      <c r="X172" s="833" t="s">
        <v>452</v>
      </c>
      <c r="AB172" s="717"/>
    </row>
    <row r="173" spans="2:28">
      <c r="B173" s="764" t="s">
        <v>91</v>
      </c>
      <c r="C173" s="839">
        <v>0.21782264418533689</v>
      </c>
      <c r="D173" s="833">
        <v>0.11571827972346023</v>
      </c>
      <c r="E173" s="833">
        <v>0.10210436446187666</v>
      </c>
      <c r="F173" s="833" t="s">
        <v>452</v>
      </c>
      <c r="G173" s="837"/>
      <c r="H173" s="839" t="s">
        <v>452</v>
      </c>
      <c r="I173" s="833" t="s">
        <v>452</v>
      </c>
      <c r="J173" s="837"/>
      <c r="K173" s="833" t="s">
        <v>452</v>
      </c>
      <c r="L173" s="833" t="s">
        <v>452</v>
      </c>
      <c r="M173" s="817"/>
      <c r="N173" s="817"/>
      <c r="O173" s="839">
        <v>1.5119122176183941</v>
      </c>
      <c r="P173" s="833">
        <v>0.8032033656097719</v>
      </c>
      <c r="Q173" s="833">
        <v>0.70870885200862221</v>
      </c>
      <c r="R173" s="833" t="s">
        <v>452</v>
      </c>
      <c r="S173" s="832"/>
      <c r="T173" s="839" t="s">
        <v>452</v>
      </c>
      <c r="U173" s="833" t="s">
        <v>452</v>
      </c>
      <c r="V173" s="837"/>
      <c r="W173" s="833" t="s">
        <v>452</v>
      </c>
      <c r="X173" s="833" t="s">
        <v>452</v>
      </c>
      <c r="AB173" s="717"/>
    </row>
    <row r="174" spans="2:28">
      <c r="B174" s="764" t="s">
        <v>1109</v>
      </c>
      <c r="C174" s="839">
        <v>1.9960268272320839E-2</v>
      </c>
      <c r="D174" s="833">
        <v>1.9960268272320839E-2</v>
      </c>
      <c r="E174" s="833">
        <v>0</v>
      </c>
      <c r="F174" s="833" t="s">
        <v>452</v>
      </c>
      <c r="G174" s="837"/>
      <c r="H174" s="839" t="s">
        <v>452</v>
      </c>
      <c r="I174" s="833" t="s">
        <v>452</v>
      </c>
      <c r="J174" s="837"/>
      <c r="K174" s="833" t="s">
        <v>452</v>
      </c>
      <c r="L174" s="833" t="s">
        <v>452</v>
      </c>
      <c r="M174" s="817"/>
      <c r="N174" s="817"/>
      <c r="O174" s="839">
        <v>0.23960830364283697</v>
      </c>
      <c r="P174" s="833">
        <v>0.23960830364283697</v>
      </c>
      <c r="Q174" s="833">
        <v>0</v>
      </c>
      <c r="R174" s="833" t="s">
        <v>452</v>
      </c>
      <c r="S174" s="832"/>
      <c r="T174" s="839" t="s">
        <v>452</v>
      </c>
      <c r="U174" s="833" t="s">
        <v>452</v>
      </c>
      <c r="V174" s="837"/>
      <c r="W174" s="833" t="s">
        <v>452</v>
      </c>
      <c r="X174" s="833" t="s">
        <v>452</v>
      </c>
      <c r="AB174" s="717"/>
    </row>
    <row r="175" spans="2:28">
      <c r="B175" s="764" t="s">
        <v>1110</v>
      </c>
      <c r="C175" s="839">
        <v>0.85460311034175185</v>
      </c>
      <c r="D175" s="833">
        <v>8.5460311034175188E-2</v>
      </c>
      <c r="E175" s="833">
        <v>0.76914279930757667</v>
      </c>
      <c r="F175" s="833">
        <v>0.11109840434442775</v>
      </c>
      <c r="G175" s="837"/>
      <c r="H175" s="839">
        <v>3.4184124413670074E-2</v>
      </c>
      <c r="I175" s="833" t="s">
        <v>452</v>
      </c>
      <c r="J175" s="837"/>
      <c r="K175" s="833">
        <v>3.4184124413670074E-2</v>
      </c>
      <c r="L175" s="833" t="s">
        <v>452</v>
      </c>
      <c r="M175" s="817"/>
      <c r="N175" s="817"/>
      <c r="O175" s="839">
        <v>4.8569561405360044</v>
      </c>
      <c r="P175" s="833">
        <v>0.4856956140536004</v>
      </c>
      <c r="Q175" s="833">
        <v>4.3712605264824029</v>
      </c>
      <c r="R175" s="833">
        <v>0.63140429826968048</v>
      </c>
      <c r="S175" s="832"/>
      <c r="T175" s="839">
        <v>0.19427824562144017</v>
      </c>
      <c r="U175" s="833" t="s">
        <v>452</v>
      </c>
      <c r="V175" s="837"/>
      <c r="W175" s="833">
        <v>0.19427824562144017</v>
      </c>
      <c r="X175" s="833" t="s">
        <v>452</v>
      </c>
      <c r="AB175" s="717"/>
    </row>
    <row r="176" spans="2:28">
      <c r="B176" s="764" t="s">
        <v>1111</v>
      </c>
      <c r="C176" s="839">
        <v>0.43293252072695382</v>
      </c>
      <c r="D176" s="833">
        <v>3.1296326799538823E-2</v>
      </c>
      <c r="E176" s="833">
        <v>0.40163619392741501</v>
      </c>
      <c r="F176" s="833" t="s">
        <v>452</v>
      </c>
      <c r="G176" s="837"/>
      <c r="H176" s="839" t="s">
        <v>452</v>
      </c>
      <c r="I176" s="833" t="s">
        <v>452</v>
      </c>
      <c r="J176" s="837"/>
      <c r="K176" s="833" t="s">
        <v>452</v>
      </c>
      <c r="L176" s="833" t="s">
        <v>452</v>
      </c>
      <c r="M176" s="817"/>
      <c r="N176" s="817"/>
      <c r="O176" s="839">
        <v>5.8285560646359391</v>
      </c>
      <c r="P176" s="833">
        <v>0.42134140226283889</v>
      </c>
      <c r="Q176" s="833">
        <v>5.407214662373101</v>
      </c>
      <c r="R176" s="833" t="s">
        <v>452</v>
      </c>
      <c r="S176" s="832"/>
      <c r="T176" s="839" t="s">
        <v>452</v>
      </c>
      <c r="U176" s="833" t="s">
        <v>452</v>
      </c>
      <c r="V176" s="837"/>
      <c r="W176" s="833" t="s">
        <v>452</v>
      </c>
      <c r="X176" s="833" t="s">
        <v>452</v>
      </c>
      <c r="AB176" s="717"/>
    </row>
    <row r="177" spans="2:28">
      <c r="B177" s="864" t="s">
        <v>1112</v>
      </c>
      <c r="C177" s="856">
        <v>0.25004228280000002</v>
      </c>
      <c r="D177" s="855">
        <v>0.12940635810000001</v>
      </c>
      <c r="E177" s="855">
        <v>0.12063592469999999</v>
      </c>
      <c r="F177" s="855"/>
      <c r="G177" s="859"/>
      <c r="H177" s="874">
        <v>3.6931601000000001E-2</v>
      </c>
      <c r="I177" s="875">
        <v>3.4191868E-2</v>
      </c>
      <c r="J177" s="859"/>
      <c r="K177" s="875">
        <v>2.7397329999999998E-3</v>
      </c>
      <c r="L177" s="855"/>
      <c r="M177" s="860"/>
      <c r="N177" s="860"/>
      <c r="O177" s="856">
        <v>2.2243652000000003</v>
      </c>
      <c r="P177" s="855">
        <v>1.1511933000000001</v>
      </c>
      <c r="Q177" s="855">
        <v>1.0731719</v>
      </c>
      <c r="R177" s="855"/>
      <c r="S177" s="866"/>
      <c r="T177" s="856">
        <v>0.328551914</v>
      </c>
      <c r="U177" s="855">
        <v>0.30417936800000001</v>
      </c>
      <c r="V177" s="859"/>
      <c r="W177" s="855">
        <v>2.4372545999999998E-2</v>
      </c>
      <c r="X177" s="833"/>
      <c r="AB177" s="717"/>
    </row>
    <row r="178" spans="2:28">
      <c r="B178" s="764" t="s">
        <v>1113</v>
      </c>
      <c r="C178" s="839">
        <v>0.70546335133890226</v>
      </c>
      <c r="D178" s="833">
        <v>0.12001658674230285</v>
      </c>
      <c r="E178" s="833">
        <v>0.58544676459659928</v>
      </c>
      <c r="F178" s="833">
        <v>0.12733467129976034</v>
      </c>
      <c r="G178" s="837"/>
      <c r="H178" s="839" t="s">
        <v>452</v>
      </c>
      <c r="I178" s="833" t="s">
        <v>452</v>
      </c>
      <c r="J178" s="837"/>
      <c r="K178" s="833" t="s">
        <v>452</v>
      </c>
      <c r="L178" s="833" t="s">
        <v>452</v>
      </c>
      <c r="M178" s="817"/>
      <c r="N178" s="817"/>
      <c r="O178" s="839">
        <v>4.8284198246879306</v>
      </c>
      <c r="P178" s="833">
        <v>0.82143241830790503</v>
      </c>
      <c r="Q178" s="833">
        <v>4.0069874063800253</v>
      </c>
      <c r="R178" s="833">
        <v>0.87151976088765548</v>
      </c>
      <c r="S178" s="832"/>
      <c r="T178" s="839" t="s">
        <v>452</v>
      </c>
      <c r="U178" s="833" t="s">
        <v>452</v>
      </c>
      <c r="V178" s="837"/>
      <c r="W178" s="833" t="s">
        <v>452</v>
      </c>
      <c r="X178" s="833" t="s">
        <v>452</v>
      </c>
      <c r="AB178" s="717"/>
    </row>
    <row r="179" spans="2:28">
      <c r="B179" s="764" t="s">
        <v>912</v>
      </c>
      <c r="C179" s="840">
        <f>IF(ISNUMBER(INDEX(Database!$G$6:$G$197, MATCH($B179&amp;"USD bn", Database!$AD$6:$AD$197, 0))), INDEX(Database!$G$6:$G$197, MATCH($B179&amp;"USD bn", Database!$AD$6:$AD$197, 0)), "")</f>
        <v>0.58733903180831615</v>
      </c>
      <c r="D179" s="837">
        <f>IF(ISNUMBER(INDEX(Database!$H$6:$H$197, MATCH($B179&amp;"USD bn", Database!$AD$6:$AD$197, 0))), INDEX(Database!$H$6:$H$197, MATCH($B179&amp;"USD bn", Database!$AD$6:$AD$197, 0)), "")</f>
        <v>0.13059822221699338</v>
      </c>
      <c r="E179" s="837">
        <f>IF(ISNUMBER(INDEX(Database!$J$6:$J$197, MATCH($B179&amp;"USD bn", Database!$AD$6:$AD$197, 0))), INDEX(Database!$J$6:$J$197, MATCH($B179&amp;"USD bn", Database!$AD$6:$AD$197, 0)), "")</f>
        <v>0.45674080959132279</v>
      </c>
      <c r="F179" s="833" t="str">
        <f>IF(ISNUMBER(INDEX(Database!$L$6:$L$197, MATCH($B179&amp;"USD bn", Database!$AD$6:$AD$197, 0))), INDEX(Database!$L$6:$L$197, MATCH($B179&amp;"USD bn", Database!$AD$6:$AD$197, 0)), "")</f>
        <v/>
      </c>
      <c r="G179" s="837"/>
      <c r="H179" s="840">
        <f>IF(ISNUMBER(INDEX(Database!$P$6:$P$197, MATCH($B179&amp;"USD bn", Database!$AD$6:$AD$197, 0))), INDEX(Database!$P$6:$P$197, MATCH($B179&amp;"USD bn", Database!$AD$6:$AD$197, 0)), "")</f>
        <v>0.21178090089242169</v>
      </c>
      <c r="I179" s="837">
        <f>IF(ISNUMBER(INDEX(Database!$Q$6:$Q$197, MATCH($B179&amp;"USD bn", Database!$AD$6:$AD$197, 0))), INDEX(Database!$Q$6:$Q$197, MATCH($B179&amp;"USD bn", Database!$AD$6:$AD$197, 0)), "")</f>
        <v>0.21178090089242169</v>
      </c>
      <c r="J179" s="837"/>
      <c r="K179" s="837" t="str">
        <f>IF(ISNUMBER(INDEX(Database!$U$6:$U$197, MATCH($B179&amp;"USD bn", Database!$AD$6:$AD$197, 0))), INDEX(Database!$U$6:$U$197, MATCH($B179&amp;"USD bn", Database!$AD$6:$AD$197, 0)), "")</f>
        <v/>
      </c>
      <c r="L179" s="837" t="str">
        <f>IF(ISNUMBER(INDEX(Database!$W$6:$W$197, MATCH($B179&amp;"USD bn", Database!$AD$6:$AD$197, 0))), INDEX(Database!$W$6:$W$197, MATCH($B179&amp;"USD bn", Database!$AD$6:$AD$197, 0)), "")</f>
        <v/>
      </c>
      <c r="M179" s="817"/>
      <c r="N179" s="817"/>
      <c r="O179" s="835">
        <f>IF(ISNUMBER(INDEX(Database!$G$6:$G$197, MATCH($B179&amp;"% GDP", Database!$AD$6:$AD$197, 0))), INDEX(Database!$G$6:$G$197, MATCH($B179&amp;"% GDP", Database!$AD$6:$AD$197, 0)), "")</f>
        <v>0.72281351560912455</v>
      </c>
      <c r="P179" s="836">
        <f>IF(ISNUMBER(INDEX(Database!$H$6:$H$197, MATCH($B179&amp;"% GDP", Database!$AD$6:$AD$197, 0))), INDEX(Database!$H$6:$H$197, MATCH($B179&amp;"% GDP", Database!$AD$6:$AD$197, 0)), "")</f>
        <v>0.16072175527366353</v>
      </c>
      <c r="Q179" s="836">
        <f>IF(ISNUMBER(INDEX(Database!$J$6:$J$197, MATCH($B179&amp;"% GDP", Database!$AD$6:$AD$197, 0))), INDEX(Database!$J$6:$J$197, MATCH($B179&amp;"% GDP", Database!$AD$6:$AD$197, 0)), "")</f>
        <v>0.56209176033546104</v>
      </c>
      <c r="R179" s="836" t="str">
        <f>IF(ISNUMBER(INDEX(Database!$L$6:$L$197, MATCH($B179&amp;"% GDP", Database!$AD$6:$AD$197, 0))), INDEX(Database!$L$6:$L$197, MATCH($B179&amp;"% GDP", Database!$AD$6:$AD$197, 0)), "")</f>
        <v/>
      </c>
      <c r="S179" s="836"/>
      <c r="T179" s="835">
        <f>IF(ISNUMBER(INDEX(Database!$P$6:$P$197, MATCH($B179&amp;"% GDP", Database!$AD$6:$AD$197, 0))), INDEX(Database!$P$6:$P$197, MATCH($B179&amp;"% GDP", Database!$AD$6:$AD$197, 0)), "")</f>
        <v>0.26062987341675165</v>
      </c>
      <c r="U179" s="836">
        <f>IF(ISNUMBER(INDEX(Database!$Q$6:$Q$197, MATCH($B179&amp;"% GDP", Database!$AD$6:$AD$197, 0))), INDEX(Database!$Q$6:$Q$197, MATCH($B179&amp;"% GDP", Database!$AD$6:$AD$197, 0)), "")</f>
        <v>0.26062987341675165</v>
      </c>
      <c r="V179" s="836"/>
      <c r="W179" s="836" t="str">
        <f>IF(ISNUMBER(INDEX(Database!$U$6:$U$197, MATCH($B179&amp;"% GDP", Database!$AD$6:$AD$197, 0))), INDEX(Database!$U$6:$U$197, MATCH($B179&amp;"% GDP", Database!$AD$6:$AD$197, 0)), "")</f>
        <v/>
      </c>
      <c r="X179" s="836" t="str">
        <f>IF(ISNUMBER(INDEX(Database!$W$6:$W$197, MATCH($B179&amp;"% GDP", Database!$AD$6:$AD$197, 0))), INDEX(Database!$W$6:$W$197, MATCH($B179&amp;"% GDP", Database!$AD$6:$AD$197, 0)), "")</f>
        <v/>
      </c>
      <c r="AB179" s="717"/>
    </row>
    <row r="180" spans="2:28">
      <c r="B180" s="764" t="s">
        <v>914</v>
      </c>
      <c r="C180" s="840" t="str">
        <f>IF(ISNUMBER(INDEX(Database!$G$6:$G$197, MATCH($B180&amp;"USD bn", Database!$AD$6:$AD$197, 0))), INDEX(Database!$G$6:$G$197, MATCH($B180&amp;"USD bn", Database!$AD$6:$AD$197, 0)), "")</f>
        <v/>
      </c>
      <c r="D180" s="837" t="str">
        <f>IF(ISNUMBER(INDEX(Database!$H$6:$H$197, MATCH($B180&amp;"USD bn", Database!$AD$6:$AD$197, 0))), INDEX(Database!$H$6:$H$197, MATCH($B180&amp;"USD bn", Database!$AD$6:$AD$197, 0)), "")</f>
        <v/>
      </c>
      <c r="E180" s="837" t="str">
        <f>IF(ISNUMBER(INDEX(Database!$J$6:$J$197, MATCH($B180&amp;"USD bn", Database!$AD$6:$AD$197, 0))), INDEX(Database!$J$6:$J$197, MATCH($B180&amp;"USD bn", Database!$AD$6:$AD$197, 0)), "")</f>
        <v/>
      </c>
      <c r="F180" s="833" t="str">
        <f>IF(ISNUMBER(INDEX(Database!$L$6:$L$197, MATCH($B180&amp;"USD bn", Database!$AD$6:$AD$197, 0))), INDEX(Database!$L$6:$L$197, MATCH($B180&amp;"USD bn", Database!$AD$6:$AD$197, 0)), "")</f>
        <v/>
      </c>
      <c r="G180" s="837"/>
      <c r="H180" s="840" t="str">
        <f>IF(ISNUMBER(INDEX(Database!$P$6:$P$197, MATCH($B180&amp;"USD bn", Database!$AD$6:$AD$197, 0))), INDEX(Database!$P$6:$P$197, MATCH($B180&amp;"USD bn", Database!$AD$6:$AD$197, 0)), "")</f>
        <v/>
      </c>
      <c r="I180" s="837" t="str">
        <f>IF(ISNUMBER(INDEX(Database!$Q$6:$Q$197, MATCH($B180&amp;"USD bn", Database!$AD$6:$AD$197, 0))), INDEX(Database!$Q$6:$Q$197, MATCH($B180&amp;"USD bn", Database!$AD$6:$AD$197, 0)), "")</f>
        <v/>
      </c>
      <c r="J180" s="837"/>
      <c r="K180" s="837" t="str">
        <f>IF(ISNUMBER(INDEX(Database!$U$6:$U$197, MATCH($B180&amp;"USD bn", Database!$AD$6:$AD$197, 0))), INDEX(Database!$U$6:$U$197, MATCH($B180&amp;"USD bn", Database!$AD$6:$AD$197, 0)), "")</f>
        <v/>
      </c>
      <c r="L180" s="837" t="str">
        <f>IF(ISNUMBER(INDEX(Database!$W$6:$W$197, MATCH($B180&amp;"USD bn", Database!$AD$6:$AD$197, 0))), INDEX(Database!$W$6:$W$197, MATCH($B180&amp;"USD bn", Database!$AD$6:$AD$197, 0)), "")</f>
        <v/>
      </c>
      <c r="M180" s="817"/>
      <c r="N180" s="817"/>
      <c r="O180" s="835" t="str">
        <f>IF(ISNUMBER(INDEX(Database!$G$6:$G$197, MATCH($B180&amp;"% GDP", Database!$AD$6:$AD$197, 0))), INDEX(Database!$G$6:$G$197, MATCH($B180&amp;"% GDP", Database!$AD$6:$AD$197, 0)), "")</f>
        <v/>
      </c>
      <c r="P180" s="836" t="str">
        <f>IF(ISNUMBER(INDEX(Database!$H$6:$H$197, MATCH($B180&amp;"% GDP", Database!$AD$6:$AD$197, 0))), INDEX(Database!$H$6:$H$197, MATCH($B180&amp;"% GDP", Database!$AD$6:$AD$197, 0)), "")</f>
        <v/>
      </c>
      <c r="Q180" s="836" t="str">
        <f>IF(ISNUMBER(INDEX(Database!$J$6:$J$197, MATCH($B180&amp;"% GDP", Database!$AD$6:$AD$197, 0))), INDEX(Database!$J$6:$J$197, MATCH($B180&amp;"% GDP", Database!$AD$6:$AD$197, 0)), "")</f>
        <v/>
      </c>
      <c r="R180" s="836" t="str">
        <f>IF(ISNUMBER(INDEX(Database!$L$6:$L$197, MATCH($B180&amp;"% GDP", Database!$AD$6:$AD$197, 0))), INDEX(Database!$L$6:$L$197, MATCH($B180&amp;"% GDP", Database!$AD$6:$AD$197, 0)), "")</f>
        <v/>
      </c>
      <c r="S180" s="836"/>
      <c r="T180" s="835" t="str">
        <f>IF(ISNUMBER(INDEX(Database!$P$6:$P$197, MATCH($B180&amp;"% GDP", Database!$AD$6:$AD$197, 0))), INDEX(Database!$P$6:$P$197, MATCH($B180&amp;"% GDP", Database!$AD$6:$AD$197, 0)), "")</f>
        <v/>
      </c>
      <c r="U180" s="836" t="str">
        <f>IF(ISNUMBER(INDEX(Database!$Q$6:$Q$197, MATCH($B180&amp;"% GDP", Database!$AD$6:$AD$197, 0))), INDEX(Database!$Q$6:$Q$197, MATCH($B180&amp;"% GDP", Database!$AD$6:$AD$197, 0)), "")</f>
        <v/>
      </c>
      <c r="V180" s="836"/>
      <c r="W180" s="836" t="str">
        <f>IF(ISNUMBER(INDEX(Database!$U$6:$U$197, MATCH($B180&amp;"% GDP", Database!$AD$6:$AD$197, 0))), INDEX(Database!$U$6:$U$197, MATCH($B180&amp;"% GDP", Database!$AD$6:$AD$197, 0)), "")</f>
        <v/>
      </c>
      <c r="X180" s="836" t="str">
        <f>IF(ISNUMBER(INDEX(Database!$W$6:$W$197, MATCH($B180&amp;"% GDP", Database!$AD$6:$AD$197, 0))), INDEX(Database!$W$6:$W$197, MATCH($B180&amp;"% GDP", Database!$AD$6:$AD$197, 0)), "")</f>
        <v/>
      </c>
      <c r="AB180" s="717"/>
    </row>
    <row r="181" spans="2:28">
      <c r="B181" s="764" t="s">
        <v>1114</v>
      </c>
      <c r="C181" s="839">
        <v>0.14878164616335718</v>
      </c>
      <c r="D181" s="833">
        <v>6.4345878281999863E-2</v>
      </c>
      <c r="E181" s="833">
        <v>8.4435767881357301E-2</v>
      </c>
      <c r="F181" s="833" t="s">
        <v>452</v>
      </c>
      <c r="G181" s="837"/>
      <c r="H181" s="839" t="s">
        <v>452</v>
      </c>
      <c r="I181" s="833" t="s">
        <v>452</v>
      </c>
      <c r="J181" s="837"/>
      <c r="K181" s="833" t="s">
        <v>452</v>
      </c>
      <c r="L181" s="833" t="s">
        <v>452</v>
      </c>
      <c r="M181" s="817"/>
      <c r="N181" s="817"/>
      <c r="O181" s="839">
        <v>1.2717118504072016</v>
      </c>
      <c r="P181" s="833">
        <v>0.54999671025438657</v>
      </c>
      <c r="Q181" s="833">
        <v>0.72171514015281513</v>
      </c>
      <c r="R181" s="833" t="s">
        <v>452</v>
      </c>
      <c r="S181" s="832"/>
      <c r="T181" s="839" t="s">
        <v>452</v>
      </c>
      <c r="U181" s="833" t="s">
        <v>452</v>
      </c>
      <c r="V181" s="837"/>
      <c r="W181" s="833" t="s">
        <v>452</v>
      </c>
      <c r="X181" s="833" t="s">
        <v>452</v>
      </c>
      <c r="AB181" s="717"/>
    </row>
    <row r="182" spans="2:28">
      <c r="B182" s="764" t="s">
        <v>915</v>
      </c>
      <c r="C182" s="840">
        <f>IF(ISNUMBER(INDEX(Database!$G$6:$G$197, MATCH($B182&amp;"USD bn", Database!$AD$6:$AD$197, 0))), INDEX(Database!$G$6:$G$197, MATCH($B182&amp;"USD bn", Database!$AD$6:$AD$197, 0)), "")</f>
        <v>0.10176470509427343</v>
      </c>
      <c r="D182" s="837">
        <f>IF(ISNUMBER(INDEX(Database!$H$6:$H$197, MATCH($B182&amp;"USD bn", Database!$AD$6:$AD$197, 0))), INDEX(Database!$H$6:$H$197, MATCH($B182&amp;"USD bn", Database!$AD$6:$AD$197, 0)), "")</f>
        <v>4.4801524297786645E-2</v>
      </c>
      <c r="E182" s="837">
        <f>IF(ISNUMBER(INDEX(Database!$J$6:$J$197, MATCH($B182&amp;"USD bn", Database!$AD$6:$AD$197, 0))), INDEX(Database!$J$6:$J$197, MATCH($B182&amp;"USD bn", Database!$AD$6:$AD$197, 0)), "")</f>
        <v>5.6963180796486788E-2</v>
      </c>
      <c r="F182" s="833" t="str">
        <f>IF(ISNUMBER(INDEX(Database!$L$6:$L$197, MATCH($B182&amp;"USD bn", Database!$AD$6:$AD$197, 0))), INDEX(Database!$L$6:$L$197, MATCH($B182&amp;"USD bn", Database!$AD$6:$AD$197, 0)), "")</f>
        <v/>
      </c>
      <c r="G182" s="837"/>
      <c r="H182" s="840">
        <f>IF(ISNUMBER(INDEX(Database!$P$6:$P$197, MATCH($B182&amp;"USD bn", Database!$AD$6:$AD$197, 0))), INDEX(Database!$P$6:$P$197, MATCH($B182&amp;"USD bn", Database!$AD$6:$AD$197, 0)), "")</f>
        <v>0.17398650212732678</v>
      </c>
      <c r="I182" s="837">
        <f>IF(ISNUMBER(INDEX(Database!$Q$6:$Q$197, MATCH($B182&amp;"USD bn", Database!$AD$6:$AD$197, 0))), INDEX(Database!$Q$6:$Q$197, MATCH($B182&amp;"USD bn", Database!$AD$6:$AD$197, 0)), "")</f>
        <v>8.6993251063663388E-2</v>
      </c>
      <c r="J182" s="837"/>
      <c r="K182" s="837">
        <f>IF(ISNUMBER(INDEX(Database!$U$6:$U$197, MATCH($B182&amp;"USD bn", Database!$AD$6:$AD$197, 0))), INDEX(Database!$U$6:$U$197, MATCH($B182&amp;"USD bn", Database!$AD$6:$AD$197, 0)), "")</f>
        <v>8.6993251063663388E-2</v>
      </c>
      <c r="L182" s="837" t="str">
        <f>IF(ISNUMBER(INDEX(Database!$W$6:$W$197, MATCH($B182&amp;"USD bn", Database!$AD$6:$AD$197, 0))), INDEX(Database!$W$6:$W$197, MATCH($B182&amp;"USD bn", Database!$AD$6:$AD$197, 0)), "")</f>
        <v/>
      </c>
      <c r="M182" s="817"/>
      <c r="N182" s="817"/>
      <c r="O182" s="835">
        <f>IF(ISNUMBER(INDEX(Database!$G$6:$G$197, MATCH($B182&amp;"% GDP", Database!$AD$6:$AD$197, 0))), INDEX(Database!$G$6:$G$197, MATCH($B182&amp;"% GDP", Database!$AD$6:$AD$197, 0)), "")</f>
        <v>0.73950497267868009</v>
      </c>
      <c r="P182" s="836">
        <f>IF(ISNUMBER(INDEX(Database!$H$6:$H$197, MATCH($B182&amp;"% GDP", Database!$AD$6:$AD$197, 0))), INDEX(Database!$H$6:$H$197, MATCH($B182&amp;"% GDP", Database!$AD$6:$AD$197, 0)), "")</f>
        <v>0.32556425109379405</v>
      </c>
      <c r="Q182" s="836">
        <f>IF(ISNUMBER(INDEX(Database!$J$6:$J$197, MATCH($B182&amp;"% GDP", Database!$AD$6:$AD$197, 0))), INDEX(Database!$J$6:$J$197, MATCH($B182&amp;"% GDP", Database!$AD$6:$AD$197, 0)), "")</f>
        <v>0.4139407215848861</v>
      </c>
      <c r="R182" s="836" t="str">
        <f>IF(ISNUMBER(INDEX(Database!$L$6:$L$197, MATCH($B182&amp;"% GDP", Database!$AD$6:$AD$197, 0))), INDEX(Database!$L$6:$L$197, MATCH($B182&amp;"% GDP", Database!$AD$6:$AD$197, 0)), "")</f>
        <v/>
      </c>
      <c r="S182" s="836"/>
      <c r="T182" s="835">
        <f>IF(ISNUMBER(INDEX(Database!$P$6:$P$197, MATCH($B182&amp;"% GDP", Database!$AD$6:$AD$197, 0))), INDEX(Database!$P$6:$P$197, MATCH($B182&amp;"% GDP", Database!$AD$6:$AD$197, 0)), "")</f>
        <v>1.2643271887137633</v>
      </c>
      <c r="U182" s="836">
        <f>IF(ISNUMBER(INDEX(Database!$Q$6:$Q$197, MATCH($B182&amp;"% GDP", Database!$AD$6:$AD$197, 0))), INDEX(Database!$Q$6:$Q$197, MATCH($B182&amp;"% GDP", Database!$AD$6:$AD$197, 0)), "")</f>
        <v>0.63216359435688163</v>
      </c>
      <c r="V182" s="836"/>
      <c r="W182" s="836">
        <f>IF(ISNUMBER(INDEX(Database!$U$6:$U$197, MATCH($B182&amp;"% GDP", Database!$AD$6:$AD$197, 0))), INDEX(Database!$U$6:$U$197, MATCH($B182&amp;"% GDP", Database!$AD$6:$AD$197, 0)), "")</f>
        <v>0.63216359435688163</v>
      </c>
      <c r="X182" s="836" t="str">
        <f>IF(ISNUMBER(INDEX(Database!$W$6:$W$197, MATCH($B182&amp;"% GDP", Database!$AD$6:$AD$197, 0))), INDEX(Database!$W$6:$W$197, MATCH($B182&amp;"% GDP", Database!$AD$6:$AD$197, 0)), "")</f>
        <v/>
      </c>
      <c r="AB182" s="764"/>
    </row>
    <row r="183" spans="2:28">
      <c r="B183" s="764" t="s">
        <v>29</v>
      </c>
      <c r="C183" s="840">
        <f>IF(ISNUMBER(INDEX(Database!$G$6:$G$197, MATCH($B183&amp;"USD bn", Database!$AD$6:$AD$197, 0))), INDEX(Database!$G$6:$G$197, MATCH($B183&amp;"USD bn", Database!$AD$6:$AD$197, 0)), "")</f>
        <v>10.381162278157996</v>
      </c>
      <c r="D183" s="837">
        <f>IF(ISNUMBER(INDEX(Database!$H$6:$H$197, MATCH($B183&amp;"USD bn", Database!$AD$6:$AD$197, 0))), INDEX(Database!$H$6:$H$197, MATCH($B183&amp;"USD bn", Database!$AD$6:$AD$197, 0)), "")</f>
        <v>6.6034102772300267</v>
      </c>
      <c r="E183" s="837">
        <f>IF(ISNUMBER(INDEX(Database!$J$6:$J$197, MATCH($B183&amp;"USD bn", Database!$AD$6:$AD$197, 0))), INDEX(Database!$J$6:$J$197, MATCH($B183&amp;"USD bn", Database!$AD$6:$AD$197, 0)), "")</f>
        <v>3.7777520009279706</v>
      </c>
      <c r="F183" s="833" t="str">
        <f>IF(ISNUMBER(INDEX(Database!$L$6:$L$197, MATCH($B183&amp;"USD bn", Database!$AD$6:$AD$197, 0))), INDEX(Database!$L$6:$L$197, MATCH($B183&amp;"USD bn", Database!$AD$6:$AD$197, 0)), "")</f>
        <v/>
      </c>
      <c r="G183" s="837"/>
      <c r="H183" s="840" t="str">
        <f>IF(ISNUMBER(INDEX(Database!$P$6:$P$197, MATCH($B183&amp;"USD bn", Database!$AD$6:$AD$197, 0))), INDEX(Database!$P$6:$P$197, MATCH($B183&amp;"USD bn", Database!$AD$6:$AD$197, 0)), "")</f>
        <v/>
      </c>
      <c r="I183" s="837" t="str">
        <f>IF(ISNUMBER(INDEX(Database!$Q$6:$Q$197, MATCH($B183&amp;"USD bn", Database!$AD$6:$AD$197, 0))), INDEX(Database!$Q$6:$Q$197, MATCH($B183&amp;"USD bn", Database!$AD$6:$AD$197, 0)), "")</f>
        <v/>
      </c>
      <c r="J183" s="837"/>
      <c r="K183" s="837" t="str">
        <f>IF(ISNUMBER(INDEX(Database!$U$6:$U$197, MATCH($B183&amp;"USD bn", Database!$AD$6:$AD$197, 0))), INDEX(Database!$U$6:$U$197, MATCH($B183&amp;"USD bn", Database!$AD$6:$AD$197, 0)), "")</f>
        <v/>
      </c>
      <c r="L183" s="837" t="str">
        <f>IF(ISNUMBER(INDEX(Database!$W$6:$W$197, MATCH($B183&amp;"USD bn", Database!$AD$6:$AD$197, 0))), INDEX(Database!$W$6:$W$197, MATCH($B183&amp;"USD bn", Database!$AD$6:$AD$197, 0)), "")</f>
        <v/>
      </c>
      <c r="M183" s="817"/>
      <c r="N183" s="817"/>
      <c r="O183" s="835">
        <f>IF(ISNUMBER(INDEX(Database!$G$6:$G$197, MATCH($B183&amp;"% GDP", Database!$AD$6:$AD$197, 0))), INDEX(Database!$G$6:$G$197, MATCH($B183&amp;"% GDP", Database!$AD$6:$AD$197, 0)), "")</f>
        <v>2.4174676981648453</v>
      </c>
      <c r="P183" s="836">
        <f>IF(ISNUMBER(INDEX(Database!$H$6:$H$197, MATCH($B183&amp;"% GDP", Database!$AD$6:$AD$197, 0))), INDEX(Database!$H$6:$H$197, MATCH($B183&amp;"% GDP", Database!$AD$6:$AD$197, 0)), "")</f>
        <v>1.5377402467275443</v>
      </c>
      <c r="Q183" s="836">
        <f>IF(ISNUMBER(INDEX(Database!$J$6:$J$197, MATCH($B183&amp;"% GDP", Database!$AD$6:$AD$197, 0))), INDEX(Database!$J$6:$J$197, MATCH($B183&amp;"% GDP", Database!$AD$6:$AD$197, 0)), "")</f>
        <v>0.8797274514373008</v>
      </c>
      <c r="R183" s="836" t="str">
        <f>IF(ISNUMBER(INDEX(Database!$L$6:$L$197, MATCH($B183&amp;"% GDP", Database!$AD$6:$AD$197, 0))), INDEX(Database!$L$6:$L$197, MATCH($B183&amp;"% GDP", Database!$AD$6:$AD$197, 0)), "")</f>
        <v/>
      </c>
      <c r="S183" s="836"/>
      <c r="T183" s="835" t="str">
        <f>IF(ISNUMBER(INDEX(Database!$P$6:$P$197, MATCH($B183&amp;"% GDP", Database!$AD$6:$AD$197, 0))), INDEX(Database!$P$6:$P$197, MATCH($B183&amp;"% GDP", Database!$AD$6:$AD$197, 0)), "")</f>
        <v/>
      </c>
      <c r="U183" s="836" t="str">
        <f>IF(ISNUMBER(INDEX(Database!$Q$6:$Q$197, MATCH($B183&amp;"% GDP", Database!$AD$6:$AD$197, 0))), INDEX(Database!$Q$6:$Q$197, MATCH($B183&amp;"% GDP", Database!$AD$6:$AD$197, 0)), "")</f>
        <v/>
      </c>
      <c r="V183" s="836"/>
      <c r="W183" s="836" t="str">
        <f>IF(ISNUMBER(INDEX(Database!$U$6:$U$197, MATCH($B183&amp;"% GDP", Database!$AD$6:$AD$197, 0))), INDEX(Database!$U$6:$U$197, MATCH($B183&amp;"% GDP", Database!$AD$6:$AD$197, 0)), "")</f>
        <v/>
      </c>
      <c r="X183" s="836" t="str">
        <f>IF(ISNUMBER(INDEX(Database!$W$6:$W$197, MATCH($B183&amp;"% GDP", Database!$AD$6:$AD$197, 0))), INDEX(Database!$W$6:$W$197, MATCH($B183&amp;"% GDP", Database!$AD$6:$AD$197, 0)), "")</f>
        <v/>
      </c>
      <c r="AB183" s="562"/>
    </row>
    <row r="184" spans="2:28">
      <c r="B184" s="764" t="s">
        <v>1115</v>
      </c>
      <c r="C184" s="839">
        <v>0.17836121884745579</v>
      </c>
      <c r="D184" s="833">
        <v>4.7377198756355446E-2</v>
      </c>
      <c r="E184" s="833">
        <v>0.13098402009110033</v>
      </c>
      <c r="F184" s="833" t="s">
        <v>452</v>
      </c>
      <c r="G184" s="837"/>
      <c r="H184" s="839" t="s">
        <v>452</v>
      </c>
      <c r="I184" s="833" t="s">
        <v>452</v>
      </c>
      <c r="J184" s="837"/>
      <c r="K184" s="833" t="s">
        <v>452</v>
      </c>
      <c r="L184" s="833" t="s">
        <v>452</v>
      </c>
      <c r="M184" s="817"/>
      <c r="N184" s="817"/>
      <c r="O184" s="839">
        <v>0.74022575937006574</v>
      </c>
      <c r="P184" s="833">
        <v>0.19662246733267372</v>
      </c>
      <c r="Q184" s="833">
        <v>0.54360329203739188</v>
      </c>
      <c r="R184" s="833" t="s">
        <v>452</v>
      </c>
      <c r="S184" s="832"/>
      <c r="T184" s="839" t="s">
        <v>452</v>
      </c>
      <c r="U184" s="833" t="s">
        <v>452</v>
      </c>
      <c r="V184" s="837"/>
      <c r="W184" s="833" t="s">
        <v>452</v>
      </c>
      <c r="X184" s="833" t="s">
        <v>452</v>
      </c>
      <c r="AB184" s="717"/>
    </row>
    <row r="185" spans="2:28">
      <c r="B185" s="864" t="s">
        <v>1116</v>
      </c>
      <c r="C185" s="839">
        <v>0.3457141711808544</v>
      </c>
      <c r="D185" s="833">
        <v>0.10803567849401699</v>
      </c>
      <c r="E185" s="833">
        <v>0.23767849268683738</v>
      </c>
      <c r="F185" s="833" t="s">
        <v>452</v>
      </c>
      <c r="G185" s="837"/>
      <c r="H185" s="839" t="s">
        <v>452</v>
      </c>
      <c r="I185" s="833" t="s">
        <v>452</v>
      </c>
      <c r="J185" s="837"/>
      <c r="K185" s="853"/>
      <c r="L185" s="833" t="s">
        <v>452</v>
      </c>
      <c r="M185" s="817"/>
      <c r="N185" s="817"/>
      <c r="O185" s="839">
        <v>3.3151884089597101</v>
      </c>
      <c r="P185" s="833">
        <v>1.0359963777999093</v>
      </c>
      <c r="Q185" s="833">
        <v>2.2791920311598006</v>
      </c>
      <c r="R185" s="833" t="s">
        <v>452</v>
      </c>
      <c r="S185" s="832"/>
      <c r="T185" s="839" t="s">
        <v>452</v>
      </c>
      <c r="U185" s="833" t="s">
        <v>452</v>
      </c>
      <c r="V185" s="837"/>
      <c r="W185" s="852"/>
      <c r="X185" s="833" t="s">
        <v>452</v>
      </c>
      <c r="AB185" s="717"/>
    </row>
    <row r="186" spans="2:28">
      <c r="B186" s="764" t="s">
        <v>1117</v>
      </c>
      <c r="C186" s="839">
        <v>1.2355704568295515E-2</v>
      </c>
      <c r="D186" s="833">
        <v>5.9490429402904331E-3</v>
      </c>
      <c r="E186" s="833">
        <v>6.4066616280050821E-3</v>
      </c>
      <c r="F186" s="833" t="s">
        <v>452</v>
      </c>
      <c r="G186" s="837"/>
      <c r="H186" s="839" t="s">
        <v>452</v>
      </c>
      <c r="I186" s="833" t="s">
        <v>452</v>
      </c>
      <c r="J186" s="837"/>
      <c r="K186" s="833" t="s">
        <v>452</v>
      </c>
      <c r="L186" s="833" t="s">
        <v>452</v>
      </c>
      <c r="M186" s="817"/>
      <c r="N186" s="817"/>
      <c r="O186" s="839">
        <v>3.0226424935506748</v>
      </c>
      <c r="P186" s="833">
        <v>1.4553463857836579</v>
      </c>
      <c r="Q186" s="833">
        <v>1.5672961077670164</v>
      </c>
      <c r="R186" s="833" t="s">
        <v>452</v>
      </c>
      <c r="S186" s="832"/>
      <c r="T186" s="839" t="s">
        <v>452</v>
      </c>
      <c r="U186" s="833" t="s">
        <v>452</v>
      </c>
      <c r="V186" s="837"/>
      <c r="W186" s="833" t="s">
        <v>452</v>
      </c>
      <c r="X186" s="833" t="s">
        <v>452</v>
      </c>
      <c r="AB186" s="717"/>
    </row>
    <row r="187" spans="2:28">
      <c r="B187" s="764" t="s">
        <v>93</v>
      </c>
      <c r="C187" s="840">
        <f>IF(ISNUMBER(INDEX(Database!$G$6:$G$197, MATCH($B187&amp;"USD bn", Database!$AD$6:$AD$197, 0))), INDEX(Database!$G$6:$G$197, MATCH($B187&amp;"USD bn", Database!$AD$6:$AD$197, 0)), "")</f>
        <v>1.3831990179032452</v>
      </c>
      <c r="D187" s="837">
        <f>IF(ISNUMBER(INDEX(Database!$H$6:$H$197, MATCH($B187&amp;"USD bn", Database!$AD$6:$AD$197, 0))), INDEX(Database!$H$6:$H$197, MATCH($B187&amp;"USD bn", Database!$AD$6:$AD$197, 0)), "")</f>
        <v>0.31491700910753129</v>
      </c>
      <c r="E187" s="837">
        <f>IF(ISNUMBER(INDEX(Database!$J$6:$J$197, MATCH($B187&amp;"USD bn", Database!$AD$6:$AD$197, 0))), INDEX(Database!$J$6:$J$197, MATCH($B187&amp;"USD bn", Database!$AD$6:$AD$197, 0)), "")</f>
        <v>1.0682820087957139</v>
      </c>
      <c r="F187" s="833">
        <f>IF(ISNUMBER(INDEX(Database!$L$6:$L$197, MATCH($B187&amp;"USD bn", Database!$AD$6:$AD$197, 0))), INDEX(Database!$L$6:$L$197, MATCH($B187&amp;"USD bn", Database!$AD$6:$AD$197, 0)), "")</f>
        <v>0.13918983827957185</v>
      </c>
      <c r="G187" s="837"/>
      <c r="H187" s="840">
        <f>IF(ISNUMBER(INDEX(Database!$P$6:$P$197, MATCH($B187&amp;"USD bn", Database!$AD$6:$AD$197, 0))), INDEX(Database!$P$6:$P$197, MATCH($B187&amp;"USD bn", Database!$AD$6:$AD$197, 0)), "")</f>
        <v>0.34797459569892963</v>
      </c>
      <c r="I187" s="837" t="str">
        <f>IF(ISNUMBER(INDEX(Database!$Q$6:$Q$197, MATCH($B187&amp;"USD bn", Database!$AD$6:$AD$197, 0))), INDEX(Database!$Q$6:$Q$197, MATCH($B187&amp;"USD bn", Database!$AD$6:$AD$197, 0)), "")</f>
        <v/>
      </c>
      <c r="J187" s="837"/>
      <c r="K187" s="837">
        <f>IF(ISNUMBER(INDEX(Database!$U$6:$U$197, MATCH($B187&amp;"USD bn", Database!$AD$6:$AD$197, 0))), INDEX(Database!$U$6:$U$197, MATCH($B187&amp;"USD bn", Database!$AD$6:$AD$197, 0)), "")</f>
        <v>0.34797459569892963</v>
      </c>
      <c r="L187" s="837" t="str">
        <f>IF(ISNUMBER(INDEX(Database!$W$6:$W$197, MATCH($B187&amp;"USD bn", Database!$AD$6:$AD$197, 0))), INDEX(Database!$W$6:$W$197, MATCH($B187&amp;"USD bn", Database!$AD$6:$AD$197, 0)), "")</f>
        <v/>
      </c>
      <c r="M187" s="817"/>
      <c r="N187" s="817"/>
      <c r="O187" s="835">
        <f>IF(ISNUMBER(INDEX(Database!$G$6:$G$197, MATCH($B187&amp;"% GDP", Database!$AD$6:$AD$197, 0))), INDEX(Database!$G$6:$G$197, MATCH($B187&amp;"% GDP", Database!$AD$6:$AD$197, 0)), "")</f>
        <v>5.6043392101381073</v>
      </c>
      <c r="P187" s="836">
        <f>IF(ISNUMBER(INDEX(Database!$H$6:$H$197, MATCH($B187&amp;"% GDP", Database!$AD$6:$AD$197, 0))), INDEX(Database!$H$6:$H$197, MATCH($B187&amp;"% GDP", Database!$AD$6:$AD$197, 0)), "")</f>
        <v>1.2759564742578584</v>
      </c>
      <c r="Q187" s="836">
        <f>IF(ISNUMBER(INDEX(Database!$J$6:$J$197, MATCH($B187&amp;"% GDP", Database!$AD$6:$AD$197, 0))), INDEX(Database!$J$6:$J$197, MATCH($B187&amp;"% GDP", Database!$AD$6:$AD$197, 0)), "")</f>
        <v>4.3283827358802496</v>
      </c>
      <c r="R187" s="836">
        <f>IF(ISNUMBER(INDEX(Database!$L$6:$L$197, MATCH($B187&amp;"% GDP", Database!$AD$6:$AD$197, 0))), INDEX(Database!$L$6:$L$197, MATCH($B187&amp;"% GDP", Database!$AD$6:$AD$197, 0)), "")</f>
        <v>0.56395866265540706</v>
      </c>
      <c r="S187" s="836"/>
      <c r="T187" s="835">
        <f>IF(ISNUMBER(INDEX(Database!$P$6:$P$197, MATCH($B187&amp;"% GDP", Database!$AD$6:$AD$197, 0))), INDEX(Database!$P$6:$P$197, MATCH($B187&amp;"% GDP", Database!$AD$6:$AD$197, 0)), "")</f>
        <v>1.4098966566385176</v>
      </c>
      <c r="U187" s="836" t="str">
        <f>IF(ISNUMBER(INDEX(Database!$Q$6:$Q$197, MATCH($B187&amp;"% GDP", Database!$AD$6:$AD$197, 0))), INDEX(Database!$Q$6:$Q$197, MATCH($B187&amp;"% GDP", Database!$AD$6:$AD$197, 0)), "")</f>
        <v/>
      </c>
      <c r="V187" s="836"/>
      <c r="W187" s="836">
        <f>IF(ISNUMBER(INDEX(Database!$U$6:$U$197, MATCH($B187&amp;"% GDP", Database!$AD$6:$AD$197, 0))), INDEX(Database!$U$6:$U$197, MATCH($B187&amp;"% GDP", Database!$AD$6:$AD$197, 0)), "")</f>
        <v>1.4098966566385176</v>
      </c>
      <c r="X187" s="836" t="str">
        <f>IF(ISNUMBER(INDEX(Database!$W$6:$W$197, MATCH($B187&amp;"% GDP", Database!$AD$6:$AD$197, 0))), INDEX(Database!$W$6:$W$197, MATCH($B187&amp;"% GDP", Database!$AD$6:$AD$197, 0)), "")</f>
        <v/>
      </c>
      <c r="AB187" s="562"/>
    </row>
    <row r="188" spans="2:28">
      <c r="B188" s="764" t="s">
        <v>1118</v>
      </c>
      <c r="C188" s="839">
        <v>0.1378674322965478</v>
      </c>
      <c r="D188" s="833">
        <v>4.2198208293371724E-2</v>
      </c>
      <c r="E188" s="833">
        <v>9.5669224003176082E-2</v>
      </c>
      <c r="F188" s="833" t="s">
        <v>452</v>
      </c>
      <c r="G188" s="837"/>
      <c r="H188" s="839" t="s">
        <v>452</v>
      </c>
      <c r="I188" s="833" t="s">
        <v>452</v>
      </c>
      <c r="J188" s="837"/>
      <c r="K188" s="833" t="s">
        <v>452</v>
      </c>
      <c r="L188" s="833" t="s">
        <v>452</v>
      </c>
      <c r="M188" s="817"/>
      <c r="N188" s="817"/>
      <c r="O188" s="839">
        <v>3.330523366323817</v>
      </c>
      <c r="P188" s="833">
        <v>1.019400422543397</v>
      </c>
      <c r="Q188" s="833">
        <v>2.3111229437804202</v>
      </c>
      <c r="R188" s="833" t="s">
        <v>452</v>
      </c>
      <c r="S188" s="832"/>
      <c r="T188" s="839" t="s">
        <v>452</v>
      </c>
      <c r="U188" s="833" t="s">
        <v>452</v>
      </c>
      <c r="V188" s="837"/>
      <c r="W188" s="833" t="s">
        <v>452</v>
      </c>
      <c r="X188" s="833" t="s">
        <v>452</v>
      </c>
      <c r="AB188" s="717"/>
    </row>
    <row r="189" spans="2:28">
      <c r="B189" s="864" t="s">
        <v>1119</v>
      </c>
      <c r="C189" s="856">
        <v>2.84958024691358E-2</v>
      </c>
      <c r="D189" s="855">
        <v>1.8449999999999994E-2</v>
      </c>
      <c r="E189" s="855">
        <v>1.0045802469135804E-2</v>
      </c>
      <c r="F189" s="855" t="s">
        <v>452</v>
      </c>
      <c r="G189" s="859"/>
      <c r="H189" s="856" t="s">
        <v>452</v>
      </c>
      <c r="I189" s="855">
        <v>1.0864197530864197E-2</v>
      </c>
      <c r="J189" s="859"/>
      <c r="K189" s="855" t="s">
        <v>452</v>
      </c>
      <c r="L189" s="855" t="s">
        <v>452</v>
      </c>
      <c r="M189" s="860"/>
      <c r="N189" s="860"/>
      <c r="O189" s="856">
        <v>1.8707825875297972</v>
      </c>
      <c r="P189" s="855">
        <v>1.2112639669407252</v>
      </c>
      <c r="Q189" s="855">
        <v>0.65951862058907196</v>
      </c>
      <c r="R189" s="855" t="s">
        <v>452</v>
      </c>
      <c r="S189" s="866"/>
      <c r="T189" s="856">
        <v>0.71324720861041802</v>
      </c>
      <c r="U189" s="855">
        <v>0.71324720861041802</v>
      </c>
      <c r="V189" s="859"/>
      <c r="W189" s="855" t="s">
        <v>452</v>
      </c>
      <c r="X189" s="855" t="s">
        <v>452</v>
      </c>
      <c r="AB189" s="717"/>
    </row>
    <row r="190" spans="2:28">
      <c r="B190" s="764" t="s">
        <v>1120</v>
      </c>
      <c r="C190" s="839">
        <v>0.01</v>
      </c>
      <c r="D190" s="833">
        <v>0.01</v>
      </c>
      <c r="E190" s="833">
        <v>0</v>
      </c>
      <c r="F190" s="833" t="s">
        <v>452</v>
      </c>
      <c r="G190" s="837"/>
      <c r="H190" s="839" t="s">
        <v>452</v>
      </c>
      <c r="I190" s="833" t="s">
        <v>452</v>
      </c>
      <c r="J190" s="837"/>
      <c r="K190" s="833" t="s">
        <v>452</v>
      </c>
      <c r="L190" s="833" t="s">
        <v>452</v>
      </c>
      <c r="M190" s="817"/>
      <c r="N190" s="817"/>
      <c r="O190" s="839">
        <v>0.20334499412141432</v>
      </c>
      <c r="P190" s="833">
        <v>0.20334499412141432</v>
      </c>
      <c r="Q190" s="833">
        <v>0</v>
      </c>
      <c r="R190" s="833" t="s">
        <v>452</v>
      </c>
      <c r="S190" s="832"/>
      <c r="T190" s="839" t="s">
        <v>452</v>
      </c>
      <c r="U190" s="833" t="s">
        <v>452</v>
      </c>
      <c r="V190" s="837"/>
      <c r="W190" s="833" t="s">
        <v>452</v>
      </c>
      <c r="X190" s="833" t="s">
        <v>452</v>
      </c>
      <c r="AB190" s="717"/>
    </row>
    <row r="191" spans="2:28">
      <c r="B191" s="764" t="s">
        <v>1121</v>
      </c>
      <c r="C191" s="839">
        <v>7.242158094217209E-3</v>
      </c>
      <c r="D191" s="833">
        <v>7.242158094217209E-3</v>
      </c>
      <c r="E191" s="833">
        <v>0</v>
      </c>
      <c r="F191" s="833" t="s">
        <v>452</v>
      </c>
      <c r="G191" s="837"/>
      <c r="H191" s="839" t="s">
        <v>452</v>
      </c>
      <c r="I191" s="833" t="s">
        <v>452</v>
      </c>
      <c r="J191" s="837"/>
      <c r="K191" s="833" t="s">
        <v>452</v>
      </c>
      <c r="L191" s="833" t="s">
        <v>452</v>
      </c>
      <c r="M191" s="817"/>
      <c r="N191" s="817"/>
      <c r="O191" s="839">
        <v>9.8468975932919242E-2</v>
      </c>
      <c r="P191" s="833">
        <v>9.8468975932919242E-2</v>
      </c>
      <c r="Q191" s="833">
        <v>0</v>
      </c>
      <c r="R191" s="833" t="s">
        <v>452</v>
      </c>
      <c r="S191" s="832"/>
      <c r="T191" s="839" t="s">
        <v>452</v>
      </c>
      <c r="U191" s="833" t="s">
        <v>452</v>
      </c>
      <c r="V191" s="837"/>
      <c r="W191" s="833" t="s">
        <v>452</v>
      </c>
      <c r="X191" s="833" t="s">
        <v>452</v>
      </c>
      <c r="AB191" s="717"/>
    </row>
    <row r="192" spans="2:28">
      <c r="B192" s="864" t="s">
        <v>1122</v>
      </c>
      <c r="C192" s="856">
        <v>0.45</v>
      </c>
      <c r="D192" s="855">
        <v>0.24</v>
      </c>
      <c r="E192" s="855">
        <v>0.21000000000000002</v>
      </c>
      <c r="F192" s="833" t="s">
        <v>452</v>
      </c>
      <c r="G192" s="837"/>
      <c r="H192" s="839" t="s">
        <v>452</v>
      </c>
      <c r="I192" s="833" t="s">
        <v>452</v>
      </c>
      <c r="J192" s="837"/>
      <c r="K192" s="833" t="s">
        <v>452</v>
      </c>
      <c r="L192" s="833" t="s">
        <v>452</v>
      </c>
      <c r="M192" s="817"/>
      <c r="N192" s="817"/>
      <c r="O192" s="856">
        <v>1</v>
      </c>
      <c r="P192" s="855">
        <v>0.54</v>
      </c>
      <c r="Q192" s="855">
        <f>O192-P192</f>
        <v>0.45999999999999996</v>
      </c>
      <c r="R192" s="833" t="s">
        <v>452</v>
      </c>
      <c r="S192" s="832"/>
      <c r="T192" s="839" t="s">
        <v>452</v>
      </c>
      <c r="U192" s="833" t="s">
        <v>452</v>
      </c>
      <c r="V192" s="837"/>
      <c r="W192" s="833" t="s">
        <v>452</v>
      </c>
      <c r="X192" s="833" t="s">
        <v>452</v>
      </c>
      <c r="AB192" s="717"/>
    </row>
    <row r="193" spans="2:28">
      <c r="B193" s="764" t="s">
        <v>1123</v>
      </c>
      <c r="C193" s="839">
        <v>0.24153120946037318</v>
      </c>
      <c r="D193" s="833">
        <v>0.39611118351501201</v>
      </c>
      <c r="E193" s="833">
        <v>-0.1545799740546388</v>
      </c>
      <c r="F193" s="833" t="s">
        <v>452</v>
      </c>
      <c r="G193" s="837"/>
      <c r="H193" s="839">
        <v>3.8644993513659714E-2</v>
      </c>
      <c r="I193" s="833">
        <v>3.8644993513659714E-2</v>
      </c>
      <c r="J193" s="837"/>
      <c r="K193" s="833" t="s">
        <v>452</v>
      </c>
      <c r="L193" s="833" t="s">
        <v>452</v>
      </c>
      <c r="M193" s="817"/>
      <c r="N193" s="817"/>
      <c r="O193" s="839">
        <v>3.1034724309315966</v>
      </c>
      <c r="P193" s="833">
        <v>5.0896947867278186</v>
      </c>
      <c r="Q193" s="833">
        <v>-1.9862223557962215</v>
      </c>
      <c r="R193" s="833" t="s">
        <v>452</v>
      </c>
      <c r="S193" s="832"/>
      <c r="T193" s="839">
        <v>0.4965555889490556</v>
      </c>
      <c r="U193" s="833">
        <v>0.4965555889490556</v>
      </c>
      <c r="V193" s="837"/>
      <c r="W193" s="833" t="s">
        <v>452</v>
      </c>
      <c r="X193" s="833" t="s">
        <v>452</v>
      </c>
      <c r="AB193" s="717"/>
    </row>
    <row r="194" spans="2:28">
      <c r="B194" s="764" t="s">
        <v>1124</v>
      </c>
      <c r="C194" s="839">
        <v>2.0146797647297859E-2</v>
      </c>
      <c r="D194" s="833">
        <v>1.7918986772981694E-2</v>
      </c>
      <c r="E194" s="833">
        <v>2.2278108743161648E-3</v>
      </c>
      <c r="F194" s="833">
        <v>9.5194617231465252E-3</v>
      </c>
      <c r="G194" s="837"/>
      <c r="H194" s="839" t="s">
        <v>452</v>
      </c>
      <c r="I194" s="833" t="s">
        <v>452</v>
      </c>
      <c r="J194" s="837"/>
      <c r="K194" s="833" t="s">
        <v>452</v>
      </c>
      <c r="L194" s="833" t="s">
        <v>452</v>
      </c>
      <c r="M194" s="817"/>
      <c r="N194" s="817"/>
      <c r="O194" s="839">
        <v>3.0596498246060689E-2</v>
      </c>
      <c r="P194" s="833">
        <v>2.7213170895388078E-2</v>
      </c>
      <c r="Q194" s="833">
        <v>3.3833273506726118E-3</v>
      </c>
      <c r="R194" s="833">
        <v>1.4456997038174917E-2</v>
      </c>
      <c r="S194" s="832"/>
      <c r="T194" s="839" t="s">
        <v>452</v>
      </c>
      <c r="U194" s="833" t="s">
        <v>452</v>
      </c>
      <c r="V194" s="837"/>
      <c r="W194" s="833" t="s">
        <v>452</v>
      </c>
      <c r="X194" s="833" t="s">
        <v>452</v>
      </c>
      <c r="AB194" s="717"/>
    </row>
    <row r="195" spans="2:28">
      <c r="B195" s="764" t="s">
        <v>1125</v>
      </c>
      <c r="C195" s="839">
        <v>0.15</v>
      </c>
      <c r="D195" s="833" t="s">
        <v>452</v>
      </c>
      <c r="E195" s="833" t="s">
        <v>452</v>
      </c>
      <c r="F195" s="833" t="s">
        <v>452</v>
      </c>
      <c r="G195" s="837"/>
      <c r="H195" s="839" t="s">
        <v>452</v>
      </c>
      <c r="I195" s="833" t="s">
        <v>452</v>
      </c>
      <c r="J195" s="837"/>
      <c r="K195" s="833" t="s">
        <v>452</v>
      </c>
      <c r="L195" s="833" t="s">
        <v>452</v>
      </c>
      <c r="M195" s="817"/>
      <c r="N195" s="817"/>
      <c r="O195" s="839">
        <v>7.6828773064644338</v>
      </c>
      <c r="P195" s="833" t="s">
        <v>452</v>
      </c>
      <c r="Q195" s="833" t="s">
        <v>452</v>
      </c>
      <c r="R195" s="833" t="s">
        <v>452</v>
      </c>
      <c r="S195" s="832"/>
      <c r="T195" s="839" t="s">
        <v>452</v>
      </c>
      <c r="U195" s="833" t="s">
        <v>452</v>
      </c>
      <c r="V195" s="837"/>
      <c r="W195" s="833" t="s">
        <v>452</v>
      </c>
      <c r="X195" s="833" t="s">
        <v>452</v>
      </c>
      <c r="AB195" s="717"/>
    </row>
    <row r="196" spans="2:28">
      <c r="B196" s="864" t="s">
        <v>1126</v>
      </c>
      <c r="C196" s="839">
        <f>SUM(D196:E196)</f>
        <v>0.26490000000000002</v>
      </c>
      <c r="D196" s="854">
        <v>0.16880000000000001</v>
      </c>
      <c r="E196" s="855">
        <v>9.6100000000000005E-2</v>
      </c>
      <c r="F196" s="875">
        <v>3.4000000000000002E-2</v>
      </c>
      <c r="G196" s="837"/>
      <c r="H196" s="839" t="s">
        <v>452</v>
      </c>
      <c r="I196" s="833" t="s">
        <v>452</v>
      </c>
      <c r="J196" s="837"/>
      <c r="K196" s="833" t="s">
        <v>452</v>
      </c>
      <c r="L196" s="833" t="s">
        <v>452</v>
      </c>
      <c r="M196" s="817"/>
      <c r="N196" s="817"/>
      <c r="O196" s="856">
        <f>SUM(P196:Q196)</f>
        <v>4.66</v>
      </c>
      <c r="P196" s="855">
        <v>2.97</v>
      </c>
      <c r="Q196" s="855">
        <v>1.69</v>
      </c>
      <c r="R196" s="833">
        <v>0.6</v>
      </c>
      <c r="S196" s="832"/>
      <c r="T196" s="839" t="s">
        <v>452</v>
      </c>
      <c r="U196" s="833" t="s">
        <v>452</v>
      </c>
      <c r="V196" s="837"/>
      <c r="W196" s="833" t="s">
        <v>452</v>
      </c>
      <c r="X196" s="833" t="s">
        <v>452</v>
      </c>
      <c r="AB196" s="717"/>
    </row>
    <row r="197" spans="2:28">
      <c r="B197" s="865" t="s">
        <v>1127</v>
      </c>
      <c r="C197" s="857">
        <v>6.698215662646835E-2</v>
      </c>
      <c r="D197" s="858">
        <v>5.1098875436668051E-2</v>
      </c>
      <c r="E197" s="858">
        <v>1.58832811898003E-2</v>
      </c>
      <c r="F197" s="855" t="s">
        <v>452</v>
      </c>
      <c r="G197" s="859"/>
      <c r="H197" s="857">
        <v>0.24783674593153771</v>
      </c>
      <c r="I197" s="858">
        <v>0.24783674593153771</v>
      </c>
      <c r="J197" s="859"/>
      <c r="K197" s="855" t="s">
        <v>452</v>
      </c>
      <c r="L197" s="855" t="s">
        <v>452</v>
      </c>
      <c r="M197" s="860"/>
      <c r="N197" s="860"/>
      <c r="O197" s="856">
        <v>1.7729503277919274</v>
      </c>
      <c r="P197" s="855">
        <v>0.50553140168712718</v>
      </c>
      <c r="Q197" s="855">
        <v>1.2674189261048001</v>
      </c>
      <c r="R197" s="833" t="s">
        <v>452</v>
      </c>
      <c r="S197" s="832"/>
      <c r="T197" s="857">
        <v>0.63354074260132731</v>
      </c>
      <c r="U197" s="858">
        <v>0.63354074260132731</v>
      </c>
      <c r="V197" s="837"/>
      <c r="W197" s="833" t="s">
        <v>452</v>
      </c>
      <c r="X197" s="833" t="s">
        <v>452</v>
      </c>
      <c r="AB197" s="717"/>
    </row>
    <row r="198" spans="2:28">
      <c r="B198" s="764" t="s">
        <v>913</v>
      </c>
      <c r="C198" s="840">
        <f>IF(ISNUMBER(INDEX(Database!$G$6:$G$197, MATCH($B198&amp;"USD bn", Database!$AD$6:$AD$197, 0))), INDEX(Database!$G$6:$G$197, MATCH($B198&amp;"USD bn", Database!$AD$6:$AD$197, 0)), "")</f>
        <v>3.3915014286441689</v>
      </c>
      <c r="D198" s="837">
        <f>IF(ISNUMBER(INDEX(Database!$H$6:$H$197, MATCH($B198&amp;"USD bn", Database!$AD$6:$AD$197, 0))), INDEX(Database!$H$6:$H$197, MATCH($B198&amp;"USD bn", Database!$AD$6:$AD$197, 0)), "")</f>
        <v>0.70117551530619915</v>
      </c>
      <c r="E198" s="837">
        <f>IF(ISNUMBER(INDEX(Database!$J$6:$J$197, MATCH($B198&amp;"USD bn", Database!$AD$6:$AD$197, 0))), INDEX(Database!$J$6:$J$197, MATCH($B198&amp;"USD bn", Database!$AD$6:$AD$197, 0)), "")</f>
        <v>2.6903259133379698</v>
      </c>
      <c r="F198" s="833" t="str">
        <f>IF(ISNUMBER(INDEX(Database!$L$6:$L$197, MATCH($B198&amp;"USD bn", Database!$AD$6:$AD$197, 0))), INDEX(Database!$L$6:$L$197, MATCH($B198&amp;"USD bn", Database!$AD$6:$AD$197, 0)), "")</f>
        <v/>
      </c>
      <c r="G198" s="837"/>
      <c r="H198" s="840">
        <f>IF(ISNUMBER(INDEX(Database!$P$6:$P$197, MATCH($B198&amp;"USD bn", Database!$AD$6:$AD$197, 0))), INDEX(Database!$P$6:$P$197, MATCH($B198&amp;"USD bn", Database!$AD$6:$AD$197, 0)), "")</f>
        <v>1.2307868087821581</v>
      </c>
      <c r="I198" s="837">
        <f>IF(ISNUMBER(INDEX(Database!$Q$6:$Q$197, MATCH($B198&amp;"USD bn", Database!$AD$6:$AD$197, 0))), INDEX(Database!$Q$6:$Q$197, MATCH($B198&amp;"USD bn", Database!$AD$6:$AD$197, 0)), "")</f>
        <v>1.2307868087821581</v>
      </c>
      <c r="J198" s="837"/>
      <c r="K198" s="837" t="str">
        <f>IF(ISNUMBER(INDEX(Database!$U$6:$U$197, MATCH($B198&amp;"USD bn", Database!$AD$6:$AD$197, 0))), INDEX(Database!$U$6:$U$197, MATCH($B198&amp;"USD bn", Database!$AD$6:$AD$197, 0)), "")</f>
        <v/>
      </c>
      <c r="L198" s="837" t="str">
        <f>IF(ISNUMBER(INDEX(Database!$W$6:$W$197, MATCH($B198&amp;"USD bn", Database!$AD$6:$AD$197, 0))), INDEX(Database!$W$6:$W$197, MATCH($B198&amp;"USD bn", Database!$AD$6:$AD$197, 0)), "")</f>
        <v/>
      </c>
      <c r="M198" s="817"/>
      <c r="N198" s="817"/>
      <c r="O198" s="835">
        <f>IF(ISNUMBER(INDEX(Database!$G$6:$G$197, MATCH($B198&amp;"% GDP", Database!$AD$6:$AD$197, 0))), INDEX(Database!$G$6:$G$197, MATCH($B198&amp;"% GDP", Database!$AD$6:$AD$197, 0)), "")</f>
        <v>5.6592682383610757</v>
      </c>
      <c r="P198" s="836">
        <f>IF(ISNUMBER(INDEX(Database!$H$6:$H$197, MATCH($B198&amp;"% GDP", Database!$AD$6:$AD$197, 0))), INDEX(Database!$H$6:$H$197, MATCH($B198&amp;"% GDP", Database!$AD$6:$AD$197, 0)), "")</f>
        <v>1.1700246651157062</v>
      </c>
      <c r="Q198" s="836">
        <f>IF(ISNUMBER(INDEX(Database!$J$6:$J$197, MATCH($B198&amp;"% GDP", Database!$AD$6:$AD$197, 0))), INDEX(Database!$J$6:$J$197, MATCH($B198&amp;"% GDP", Database!$AD$6:$AD$197, 0)), "")</f>
        <v>4.4892435732453695</v>
      </c>
      <c r="R198" s="836" t="str">
        <f>IF(ISNUMBER(INDEX(Database!$L$6:$L$197, MATCH($B198&amp;"% GDP", Database!$AD$6:$AD$197, 0))), INDEX(Database!$L$6:$L$197, MATCH($B198&amp;"% GDP", Database!$AD$6:$AD$197, 0)), "")</f>
        <v/>
      </c>
      <c r="S198" s="836"/>
      <c r="T198" s="835">
        <f>IF(ISNUMBER(INDEX(Database!$P$6:$P$197, MATCH($B198&amp;"% GDP", Database!$AD$6:$AD$197, 0))), INDEX(Database!$P$6:$P$197, MATCH($B198&amp;"% GDP", Database!$AD$6:$AD$197, 0)), "")</f>
        <v>2.0537666994052293</v>
      </c>
      <c r="U198" s="836">
        <f>IF(ISNUMBER(INDEX(Database!$Q$6:$Q$197, MATCH($B198&amp;"% GDP", Database!$AD$6:$AD$197, 0))), INDEX(Database!$Q$6:$Q$197, MATCH($B198&amp;"% GDP", Database!$AD$6:$AD$197, 0)), "")</f>
        <v>2.0537666994052293</v>
      </c>
      <c r="V198" s="836"/>
      <c r="W198" s="836" t="str">
        <f>IF(ISNUMBER(INDEX(Database!$U$6:$U$197, MATCH($B198&amp;"% GDP", Database!$AD$6:$AD$197, 0))), INDEX(Database!$U$6:$U$197, MATCH($B198&amp;"% GDP", Database!$AD$6:$AD$197, 0)), "")</f>
        <v/>
      </c>
      <c r="X198" s="836" t="str">
        <f>IF(ISNUMBER(INDEX(Database!$W$6:$W$197, MATCH($B198&amp;"% GDP", Database!$AD$6:$AD$197, 0))), INDEX(Database!$W$6:$W$197, MATCH($B198&amp;"% GDP", Database!$AD$6:$AD$197, 0)), "")</f>
        <v/>
      </c>
      <c r="AB198" s="717"/>
    </row>
    <row r="199" spans="2:28">
      <c r="B199" s="764" t="s">
        <v>33</v>
      </c>
      <c r="C199" s="840">
        <f>IF(ISNUMBER(INDEX(Database!$G$6:$G$197, MATCH($B199&amp;"USD bn", Database!$AD$6:$AD$197, 0))), INDEX(Database!$G$6:$G$197, MATCH($B199&amp;"USD bn", Database!$AD$6:$AD$197, 0)), "")</f>
        <v>6.074238065187715</v>
      </c>
      <c r="D199" s="837">
        <f>IF(ISNUMBER(INDEX(Database!$H$6:$H$197, MATCH($B199&amp;"USD bn", Database!$AD$6:$AD$197, 0))), INDEX(Database!$H$6:$H$197, MATCH($B199&amp;"USD bn", Database!$AD$6:$AD$197, 0)), "")</f>
        <v>1.3739501827943565</v>
      </c>
      <c r="E199" s="837">
        <f>IF(ISNUMBER(INDEX(Database!$J$6:$J$197, MATCH($B199&amp;"USD bn", Database!$AD$6:$AD$197, 0))), INDEX(Database!$J$6:$J$197, MATCH($B199&amp;"USD bn", Database!$AD$6:$AD$197, 0)), "")</f>
        <v>4.7002878823933587</v>
      </c>
      <c r="F199" s="833">
        <f>IF(ISNUMBER(INDEX(Database!$L$6:$L$197, MATCH($B199&amp;"USD bn", Database!$AD$6:$AD$197, 0))), INDEX(Database!$L$6:$L$197, MATCH($B199&amp;"USD bn", Database!$AD$6:$AD$197, 0)), "")</f>
        <v>12.70580890044938</v>
      </c>
      <c r="G199" s="837"/>
      <c r="H199" s="840">
        <f>IF(ISNUMBER(INDEX(Database!$P$6:$P$197, MATCH($B199&amp;"USD bn", Database!$AD$6:$AD$197, 0))), INDEX(Database!$P$6:$P$197, MATCH($B199&amp;"USD bn", Database!$AD$6:$AD$197, 0)), "")</f>
        <v>3.2776679909294839</v>
      </c>
      <c r="I199" s="837">
        <f>IF(ISNUMBER(INDEX(Database!$Q$6:$Q$197, MATCH($B199&amp;"USD bn", Database!$AD$6:$AD$197, 0))), INDEX(Database!$Q$6:$Q$197, MATCH($B199&amp;"USD bn", Database!$AD$6:$AD$197, 0)), "")</f>
        <v>1.119834004785369</v>
      </c>
      <c r="J199" s="837"/>
      <c r="K199" s="837" t="str">
        <f>IF(ISNUMBER(INDEX(Database!$U$6:$U$197, MATCH($B199&amp;"USD bn", Database!$AD$6:$AD$197, 0))), INDEX(Database!$U$6:$U$197, MATCH($B199&amp;"USD bn", Database!$AD$6:$AD$197, 0)), "")</f>
        <v/>
      </c>
      <c r="L199" s="837">
        <f>IF(ISNUMBER(INDEX(Database!$W$6:$W$197, MATCH($B199&amp;"USD bn", Database!$AD$6:$AD$197, 0))), INDEX(Database!$W$6:$W$197, MATCH($B199&amp;"USD bn", Database!$AD$6:$AD$197, 0)), "")</f>
        <v>2.1578339861441149</v>
      </c>
      <c r="M199" s="817"/>
      <c r="N199" s="817"/>
      <c r="O199" s="835">
        <f>IF(ISNUMBER(INDEX(Database!$G$6:$G$197, MATCH($B199&amp;"% GDP", Database!$AD$6:$AD$197, 0))), INDEX(Database!$G$6:$G$197, MATCH($B199&amp;"% GDP", Database!$AD$6:$AD$197, 0)), "")</f>
        <v>1.7703277371912942</v>
      </c>
      <c r="P199" s="836">
        <f>IF(ISNUMBER(INDEX(Database!$H$6:$H$197, MATCH($B199&amp;"% GDP", Database!$AD$6:$AD$197, 0))), INDEX(Database!$H$6:$H$197, MATCH($B199&amp;"% GDP", Database!$AD$6:$AD$197, 0)), "")</f>
        <v>0.40043575704745288</v>
      </c>
      <c r="Q199" s="836">
        <f>IF(ISNUMBER(INDEX(Database!$J$6:$J$197, MATCH($B199&amp;"% GDP", Database!$AD$6:$AD$197, 0))), INDEX(Database!$J$6:$J$197, MATCH($B199&amp;"% GDP", Database!$AD$6:$AD$197, 0)), "")</f>
        <v>1.3698919801438412</v>
      </c>
      <c r="R199" s="836">
        <f>IF(ISNUMBER(INDEX(Database!$L$6:$L$197, MATCH($B199&amp;"% GDP", Database!$AD$6:$AD$197, 0))), INDEX(Database!$L$6:$L$197, MATCH($B199&amp;"% GDP", Database!$AD$6:$AD$197, 0)), "")</f>
        <v>3.7030892893103009</v>
      </c>
      <c r="S199" s="836"/>
      <c r="T199" s="835">
        <f>IF(ISNUMBER(INDEX(Database!$P$6:$P$197, MATCH($B199&amp;"% GDP", Database!$AD$6:$AD$197, 0))), INDEX(Database!$P$6:$P$197, MATCH($B199&amp;"% GDP", Database!$AD$6:$AD$197, 0)), "")</f>
        <v>0.95527150819157258</v>
      </c>
      <c r="U199" s="836">
        <f>IF(ISNUMBER(INDEX(Database!$Q$6:$Q$197, MATCH($B199&amp;"% GDP", Database!$AD$6:$AD$197, 0))), INDEX(Database!$Q$6:$Q$197, MATCH($B199&amp;"% GDP", Database!$AD$6:$AD$197, 0)), "")</f>
        <v>0.3263739712612469</v>
      </c>
      <c r="V199" s="836"/>
      <c r="W199" s="836" t="str">
        <f>IF(ISNUMBER(INDEX(Database!$U$6:$U$197, MATCH($B199&amp;"% GDP", Database!$AD$6:$AD$197, 0))), INDEX(Database!$U$6:$U$197, MATCH($B199&amp;"% GDP", Database!$AD$6:$AD$197, 0)), "")</f>
        <v/>
      </c>
      <c r="X199" s="836">
        <f>IF(ISNUMBER(INDEX(Database!$W$6:$W$197, MATCH($B199&amp;"% GDP", Database!$AD$6:$AD$197, 0))), INDEX(Database!$W$6:$W$197, MATCH($B199&amp;"% GDP", Database!$AD$6:$AD$197, 0)), "")</f>
        <v>0.62889753693032568</v>
      </c>
      <c r="AB199" s="562"/>
    </row>
    <row r="200" spans="2:28">
      <c r="B200" s="764" t="s">
        <v>1128</v>
      </c>
      <c r="C200" s="839" t="s">
        <v>452</v>
      </c>
      <c r="D200" s="833" t="s">
        <v>452</v>
      </c>
      <c r="E200" s="833" t="s">
        <v>452</v>
      </c>
      <c r="F200" s="833" t="s">
        <v>452</v>
      </c>
      <c r="G200" s="837"/>
      <c r="H200" s="839" t="s">
        <v>452</v>
      </c>
      <c r="I200" s="833" t="s">
        <v>452</v>
      </c>
      <c r="J200" s="837"/>
      <c r="K200" s="833" t="s">
        <v>452</v>
      </c>
      <c r="L200" s="833" t="s">
        <v>452</v>
      </c>
      <c r="M200" s="817"/>
      <c r="N200" s="817"/>
      <c r="O200" s="839" t="s">
        <v>452</v>
      </c>
      <c r="P200" s="833" t="s">
        <v>452</v>
      </c>
      <c r="Q200" s="833" t="s">
        <v>452</v>
      </c>
      <c r="R200" s="833" t="s">
        <v>452</v>
      </c>
      <c r="S200" s="832"/>
      <c r="T200" s="839" t="s">
        <v>452</v>
      </c>
      <c r="U200" s="833" t="s">
        <v>452</v>
      </c>
      <c r="V200" s="837"/>
      <c r="W200" s="833" t="s">
        <v>452</v>
      </c>
      <c r="X200" s="833" t="s">
        <v>452</v>
      </c>
      <c r="AB200" s="717"/>
    </row>
    <row r="201" spans="2:28">
      <c r="B201" s="764" t="s">
        <v>916</v>
      </c>
      <c r="C201" s="839">
        <v>0.39701731992953948</v>
      </c>
      <c r="D201" s="833">
        <v>5.5917932384442183E-2</v>
      </c>
      <c r="E201" s="833">
        <v>0.34109938754509728</v>
      </c>
      <c r="F201" s="833" t="s">
        <v>452</v>
      </c>
      <c r="G201" s="837"/>
      <c r="H201" s="839">
        <v>5.032613914599797E-2</v>
      </c>
      <c r="I201" s="833">
        <v>5.032613914599797E-2</v>
      </c>
      <c r="J201" s="837"/>
      <c r="K201" s="833" t="s">
        <v>452</v>
      </c>
      <c r="L201" s="833" t="s">
        <v>452</v>
      </c>
      <c r="M201" s="817"/>
      <c r="N201" s="817"/>
      <c r="O201" s="839">
        <v>2.0995999624452013</v>
      </c>
      <c r="P201" s="833">
        <v>0.29571830456974668</v>
      </c>
      <c r="Q201" s="833">
        <v>1.8038816578754544</v>
      </c>
      <c r="R201" s="833" t="s">
        <v>452</v>
      </c>
      <c r="S201" s="832"/>
      <c r="T201" s="839">
        <v>0.26614647411277198</v>
      </c>
      <c r="U201" s="833">
        <v>0.26614647411277198</v>
      </c>
      <c r="V201" s="837"/>
      <c r="W201" s="833" t="s">
        <v>452</v>
      </c>
      <c r="X201" s="833" t="s">
        <v>452</v>
      </c>
      <c r="AB201" s="717"/>
    </row>
    <row r="202" spans="2:28">
      <c r="B202" s="764" t="s">
        <v>1129</v>
      </c>
      <c r="C202" s="839">
        <v>0.67232885262712061</v>
      </c>
      <c r="D202" s="833">
        <v>1.96170222251945E-2</v>
      </c>
      <c r="E202" s="833">
        <v>0.65271183040192615</v>
      </c>
      <c r="F202" s="833" t="s">
        <v>452</v>
      </c>
      <c r="G202" s="837"/>
      <c r="H202" s="839" t="s">
        <v>452</v>
      </c>
      <c r="I202" s="833" t="s">
        <v>452</v>
      </c>
      <c r="J202" s="837"/>
      <c r="K202" s="833" t="s">
        <v>452</v>
      </c>
      <c r="L202" s="833" t="s">
        <v>452</v>
      </c>
      <c r="M202" s="817"/>
      <c r="N202" s="817"/>
      <c r="O202" s="839">
        <v>4.8015924631708344</v>
      </c>
      <c r="P202" s="833">
        <v>0.14009951484052835</v>
      </c>
      <c r="Q202" s="833">
        <v>4.6614929483303067</v>
      </c>
      <c r="R202" s="833" t="s">
        <v>452</v>
      </c>
      <c r="S202" s="832"/>
      <c r="T202" s="839" t="s">
        <v>452</v>
      </c>
      <c r="U202" s="833" t="s">
        <v>452</v>
      </c>
      <c r="V202" s="837"/>
      <c r="W202" s="833" t="s">
        <v>452</v>
      </c>
      <c r="X202" s="833" t="s">
        <v>452</v>
      </c>
      <c r="AB202" s="717"/>
    </row>
    <row r="203" spans="2:28">
      <c r="B203" s="764"/>
      <c r="C203" s="841"/>
      <c r="D203" s="842"/>
      <c r="E203" s="842"/>
      <c r="F203" s="842"/>
      <c r="G203" s="842"/>
      <c r="H203" s="841"/>
      <c r="I203" s="842"/>
      <c r="J203" s="842"/>
      <c r="K203" s="842"/>
      <c r="L203" s="842"/>
      <c r="O203" s="843"/>
      <c r="P203" s="844"/>
      <c r="Q203" s="844"/>
      <c r="R203" s="844"/>
      <c r="S203" s="844"/>
      <c r="T203" s="843"/>
      <c r="U203" s="844"/>
      <c r="V203" s="844"/>
      <c r="W203" s="844"/>
      <c r="X203" s="844"/>
      <c r="AB203" s="562"/>
    </row>
    <row r="204" spans="2:28">
      <c r="B204" s="838" t="s">
        <v>1130</v>
      </c>
      <c r="C204" s="861">
        <v>5772.7515475438931</v>
      </c>
      <c r="D204" s="862">
        <v>591.33370255933994</v>
      </c>
      <c r="E204" s="862">
        <v>5175.6861250806205</v>
      </c>
      <c r="F204" s="846">
        <f>SUM(F8:F202)-IF(F10="", 0, F10)</f>
        <v>778.47731064844447</v>
      </c>
      <c r="G204" s="847"/>
      <c r="H204" s="846">
        <f>I204+ K204 + L204</f>
        <v>5716.5915472477263</v>
      </c>
      <c r="I204" s="846">
        <v>430.02082108414191</v>
      </c>
      <c r="J204" s="846"/>
      <c r="K204" s="846">
        <v>3841.5030220464664</v>
      </c>
      <c r="L204" s="846">
        <v>1445.0677041171186</v>
      </c>
      <c r="O204" s="843">
        <v>5.7416938666585953</v>
      </c>
      <c r="P204" s="843">
        <v>0.59562459358260511</v>
      </c>
      <c r="Q204" s="843">
        <v>5.1362820396906379</v>
      </c>
      <c r="R204" s="844">
        <v>1.0558887546891882</v>
      </c>
      <c r="S204" s="844"/>
      <c r="T204" s="843">
        <f>U204+W204+X204</f>
        <v>5.9721916070477139</v>
      </c>
      <c r="U204" s="844">
        <v>0.45667192134966234</v>
      </c>
      <c r="V204" s="844"/>
      <c r="W204" s="844">
        <v>4.0516896743191966</v>
      </c>
      <c r="X204" s="844">
        <v>1.4638300113788545</v>
      </c>
      <c r="AB204" s="719"/>
    </row>
    <row r="205" spans="2:28">
      <c r="B205" s="838" t="s">
        <v>1243</v>
      </c>
      <c r="C205" s="863">
        <f>SUM(C8:C202)-C10</f>
        <v>10614.767346239489</v>
      </c>
      <c r="D205" s="863">
        <f>SUM(D8:D202)-D10</f>
        <v>1412.9562038963618</v>
      </c>
      <c r="E205" s="863">
        <f>SUM(E8:E202)-E10</f>
        <v>9114.125989176182</v>
      </c>
      <c r="F205" s="863">
        <f>SUM(F8:F202)</f>
        <v>778.47731064844447</v>
      </c>
      <c r="G205" s="830"/>
      <c r="H205" s="863">
        <f>SUM(H8:H202)-H10</f>
        <v>6084.4066912085809</v>
      </c>
      <c r="I205" s="863">
        <f>SUM(I8:I202)-I10</f>
        <v>368.91457842819864</v>
      </c>
      <c r="J205" s="830"/>
      <c r="K205" s="863">
        <f>SUM(K8:K202)-K10</f>
        <v>4020.5335981133289</v>
      </c>
      <c r="L205" s="863">
        <f>SUM(L8:L202)</f>
        <v>1694.966100368368</v>
      </c>
    </row>
    <row r="206" spans="2:28" s="383" customFormat="1" ht="3.65" customHeight="1">
      <c r="B206" s="848"/>
      <c r="C206" s="2"/>
      <c r="D206" s="2"/>
      <c r="E206" s="2"/>
      <c r="F206" s="2"/>
      <c r="G206" s="2"/>
      <c r="H206" s="2"/>
      <c r="I206" s="2"/>
      <c r="J206" s="2"/>
      <c r="K206" s="2"/>
      <c r="L206" s="2"/>
      <c r="M206" s="2"/>
      <c r="N206" s="2"/>
      <c r="O206" s="2"/>
      <c r="P206" s="2"/>
      <c r="Q206" s="2"/>
      <c r="R206" s="2"/>
      <c r="S206" s="2"/>
      <c r="T206" s="2"/>
      <c r="U206" s="2"/>
      <c r="V206" s="2"/>
      <c r="W206" s="2"/>
      <c r="X206" s="2"/>
      <c r="AB206" s="560"/>
    </row>
    <row r="207" spans="2:28">
      <c r="B207" s="849" t="s">
        <v>108</v>
      </c>
      <c r="AB207" s="566"/>
    </row>
    <row r="208" spans="2:28">
      <c r="B208" s="1245" t="s">
        <v>1251</v>
      </c>
      <c r="C208" s="1245"/>
      <c r="D208" s="1245"/>
      <c r="E208" s="1245"/>
      <c r="F208" s="1245"/>
      <c r="G208" s="1245"/>
      <c r="H208" s="1245"/>
      <c r="I208" s="1245"/>
      <c r="J208" s="1245"/>
      <c r="K208" s="1245"/>
      <c r="L208" s="1245"/>
      <c r="M208" s="1245"/>
      <c r="N208" s="1245"/>
      <c r="O208" s="1245"/>
      <c r="P208" s="1245"/>
      <c r="Q208" s="1245"/>
      <c r="R208" s="1245"/>
      <c r="S208" s="1245"/>
      <c r="T208" s="1245"/>
      <c r="U208" s="1245"/>
      <c r="V208" s="1245"/>
      <c r="W208" s="1245"/>
    </row>
    <row r="209" spans="2:2">
      <c r="B209" s="352" t="s">
        <v>1242</v>
      </c>
    </row>
    <row r="210" spans="2:2">
      <c r="B210" s="352" t="s">
        <v>1244</v>
      </c>
    </row>
  </sheetData>
  <mergeCells count="15">
    <mergeCell ref="U5:U6"/>
    <mergeCell ref="W5:X5"/>
    <mergeCell ref="B208:W208"/>
    <mergeCell ref="C5:E5"/>
    <mergeCell ref="F5:F6"/>
    <mergeCell ref="I5:I6"/>
    <mergeCell ref="K5:L5"/>
    <mergeCell ref="O5:Q5"/>
    <mergeCell ref="R5:R6"/>
    <mergeCell ref="B3:L3"/>
    <mergeCell ref="N3:X3"/>
    <mergeCell ref="C4:F4"/>
    <mergeCell ref="H4:L4"/>
    <mergeCell ref="O4:R4"/>
    <mergeCell ref="T4:X4"/>
  </mergeCells>
  <pageMargins left="0.7" right="0.7" top="0.75" bottom="0.75" header="0.3" footer="0.3"/>
  <pageSetup scale="6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98A32-8A89-45AA-AF74-656E20945902}">
  <sheetPr>
    <pageSetUpPr fitToPage="1"/>
  </sheetPr>
  <dimension ref="A1:AB210"/>
  <sheetViews>
    <sheetView showGridLines="0" view="pageBreakPreview" zoomScaleNormal="100" zoomScaleSheetLayoutView="100" workbookViewId="0">
      <pane xSplit="2" ySplit="7" topLeftCell="C179" activePane="bottomRight" state="frozen"/>
      <selection pane="topRight" activeCell="C1" sqref="C1"/>
      <selection pane="bottomLeft" activeCell="A8" sqref="A8"/>
      <selection pane="bottomRight" activeCell="D195" sqref="D195"/>
    </sheetView>
  </sheetViews>
  <sheetFormatPr defaultColWidth="9.1796875" defaultRowHeight="12.5"/>
  <cols>
    <col min="1" max="1" width="3.453125" style="479" customWidth="1"/>
    <col min="2" max="2" width="26.54296875" style="352" customWidth="1"/>
    <col min="3" max="3" width="8" style="352" customWidth="1"/>
    <col min="4" max="4" width="6.453125" style="352" customWidth="1"/>
    <col min="5" max="5" width="7.81640625" style="352" bestFit="1" customWidth="1"/>
    <col min="6" max="6" width="9.81640625" style="352" customWidth="1"/>
    <col min="7" max="7" width="2.1796875" style="352" customWidth="1"/>
    <col min="8" max="8" width="8.1796875" style="352" customWidth="1"/>
    <col min="9" max="9" width="18.81640625" style="352" customWidth="1"/>
    <col min="10" max="10" width="1.81640625" style="352" customWidth="1"/>
    <col min="11" max="11" width="9.1796875" style="352" customWidth="1"/>
    <col min="12" max="12" width="8.54296875" style="352" bestFit="1" customWidth="1"/>
    <col min="13" max="13" width="2.1796875" style="352" customWidth="1"/>
    <col min="14" max="14" width="1.1796875" style="352" customWidth="1"/>
    <col min="15" max="15" width="6.81640625" style="352" customWidth="1"/>
    <col min="16" max="16" width="5.81640625" style="352" customWidth="1"/>
    <col min="17" max="17" width="7.81640625" style="352" bestFit="1" customWidth="1"/>
    <col min="18" max="18" width="9.81640625" style="352" customWidth="1"/>
    <col min="19" max="19" width="1.81640625" style="352" customWidth="1"/>
    <col min="20" max="20" width="6.81640625" style="352" customWidth="1"/>
    <col min="21" max="21" width="18.81640625" style="352" customWidth="1"/>
    <col min="22" max="22" width="1.54296875" style="352" customWidth="1"/>
    <col min="23" max="23" width="8.81640625" style="352" customWidth="1"/>
    <col min="24" max="24" width="9.81640625" style="352" customWidth="1"/>
    <col min="25" max="25" width="1.54296875" style="479" customWidth="1"/>
    <col min="26" max="27" width="9.1796875" style="479"/>
    <col min="28" max="28" width="26.54296875" style="479" customWidth="1"/>
    <col min="29" max="16384" width="9.1796875" style="479"/>
  </cols>
  <sheetData>
    <row r="1" spans="1:28" ht="15.75" customHeight="1">
      <c r="B1" s="816" t="s">
        <v>898</v>
      </c>
      <c r="I1" s="817"/>
      <c r="J1" s="817"/>
      <c r="K1" s="817"/>
      <c r="L1" s="817"/>
      <c r="AB1" s="557"/>
    </row>
    <row r="2" spans="1:28" ht="15.75" customHeight="1">
      <c r="B2" s="818" t="s">
        <v>774</v>
      </c>
      <c r="I2" s="817"/>
      <c r="J2" s="817"/>
      <c r="K2" s="817"/>
      <c r="L2" s="817"/>
      <c r="AB2" s="569"/>
    </row>
    <row r="3" spans="1:28" ht="15.75" customHeight="1">
      <c r="B3" s="1343" t="s">
        <v>437</v>
      </c>
      <c r="C3" s="1344"/>
      <c r="D3" s="1344"/>
      <c r="E3" s="1344"/>
      <c r="F3" s="1344"/>
      <c r="G3" s="1344"/>
      <c r="H3" s="1344"/>
      <c r="I3" s="1344"/>
      <c r="J3" s="1344"/>
      <c r="K3" s="1344"/>
      <c r="L3" s="1344"/>
      <c r="M3" s="819"/>
      <c r="N3" s="1343" t="s">
        <v>456</v>
      </c>
      <c r="O3" s="1344"/>
      <c r="P3" s="1344"/>
      <c r="Q3" s="1344"/>
      <c r="R3" s="1344"/>
      <c r="S3" s="1344"/>
      <c r="T3" s="1344"/>
      <c r="U3" s="1344"/>
      <c r="V3" s="1344"/>
      <c r="W3" s="1344"/>
      <c r="X3" s="1344"/>
    </row>
    <row r="4" spans="1:28" ht="11.15" customHeight="1">
      <c r="A4" s="559"/>
      <c r="B4" s="820"/>
      <c r="C4" s="1330" t="s">
        <v>586</v>
      </c>
      <c r="D4" s="1330"/>
      <c r="E4" s="1330"/>
      <c r="F4" s="1330"/>
      <c r="G4" s="821"/>
      <c r="H4" s="1341" t="s">
        <v>773</v>
      </c>
      <c r="I4" s="1341"/>
      <c r="J4" s="1341"/>
      <c r="K4" s="1341"/>
      <c r="L4" s="1341"/>
      <c r="M4" s="822"/>
      <c r="N4" s="823"/>
      <c r="O4" s="1330" t="s">
        <v>586</v>
      </c>
      <c r="P4" s="1330"/>
      <c r="Q4" s="1330"/>
      <c r="R4" s="1330"/>
      <c r="S4" s="821"/>
      <c r="T4" s="1341" t="s">
        <v>773</v>
      </c>
      <c r="U4" s="1341"/>
      <c r="V4" s="1341"/>
      <c r="W4" s="1341"/>
      <c r="X4" s="1341"/>
      <c r="AB4" s="571"/>
    </row>
    <row r="5" spans="1:28" ht="27" customHeight="1">
      <c r="A5" s="559"/>
      <c r="B5" s="820"/>
      <c r="C5" s="1341" t="s">
        <v>770</v>
      </c>
      <c r="D5" s="1341"/>
      <c r="E5" s="1341"/>
      <c r="F5" s="1342" t="s">
        <v>771</v>
      </c>
      <c r="G5" s="821"/>
      <c r="H5" s="824"/>
      <c r="I5" s="1338" t="s">
        <v>778</v>
      </c>
      <c r="J5" s="824"/>
      <c r="K5" s="1330" t="s">
        <v>211</v>
      </c>
      <c r="L5" s="1330"/>
      <c r="M5" s="822"/>
      <c r="N5" s="823"/>
      <c r="O5" s="1341" t="s">
        <v>770</v>
      </c>
      <c r="P5" s="1341"/>
      <c r="Q5" s="1341"/>
      <c r="R5" s="1342" t="s">
        <v>771</v>
      </c>
      <c r="S5" s="821"/>
      <c r="T5" s="824"/>
      <c r="U5" s="1338" t="s">
        <v>778</v>
      </c>
      <c r="V5" s="824"/>
      <c r="W5" s="1330" t="s">
        <v>211</v>
      </c>
      <c r="X5" s="1330"/>
      <c r="AB5" s="571"/>
    </row>
    <row r="6" spans="1:28" ht="29.5" customHeight="1">
      <c r="A6" s="559"/>
      <c r="B6" s="825"/>
      <c r="C6" s="577" t="s">
        <v>429</v>
      </c>
      <c r="D6" s="805" t="s">
        <v>769</v>
      </c>
      <c r="E6" s="805" t="s">
        <v>772</v>
      </c>
      <c r="F6" s="1335"/>
      <c r="G6" s="826"/>
      <c r="H6" s="580" t="s">
        <v>429</v>
      </c>
      <c r="I6" s="1337"/>
      <c r="J6" s="581"/>
      <c r="K6" s="581" t="s">
        <v>587</v>
      </c>
      <c r="L6" s="581" t="s">
        <v>588</v>
      </c>
      <c r="M6" s="827"/>
      <c r="N6" s="828"/>
      <c r="O6" s="577" t="s">
        <v>429</v>
      </c>
      <c r="P6" s="805" t="s">
        <v>769</v>
      </c>
      <c r="Q6" s="805" t="s">
        <v>772</v>
      </c>
      <c r="R6" s="1335"/>
      <c r="S6" s="826"/>
      <c r="T6" s="580" t="s">
        <v>429</v>
      </c>
      <c r="U6" s="1337"/>
      <c r="V6" s="581"/>
      <c r="W6" s="581" t="s">
        <v>587</v>
      </c>
      <c r="X6" s="805" t="s">
        <v>588</v>
      </c>
      <c r="AB6" s="576"/>
    </row>
    <row r="7" spans="1:28">
      <c r="A7" s="559"/>
      <c r="B7" s="829" t="s">
        <v>775</v>
      </c>
      <c r="C7" s="830"/>
      <c r="D7" s="830"/>
      <c r="E7" s="830"/>
      <c r="F7" s="830"/>
      <c r="G7" s="830"/>
      <c r="H7" s="830"/>
      <c r="I7" s="830"/>
      <c r="J7" s="830"/>
      <c r="K7" s="830"/>
      <c r="L7" s="830"/>
      <c r="AB7" s="561"/>
    </row>
    <row r="8" spans="1:28">
      <c r="A8" s="559"/>
      <c r="B8" s="764" t="s">
        <v>0</v>
      </c>
      <c r="C8" s="831">
        <f>IF(ISNUMBER(INDEX(Database!$G$6:$G$197, MATCH($B8&amp;"USD bn", Database!$AD$6:$AD$197, 0))), INDEX(Database!$G$6:$G$197, MATCH($B8&amp;"USD bn", Database!$AD$6:$AD$197, 0)), "")</f>
        <v>249.72579708899613</v>
      </c>
      <c r="D8" s="832">
        <f>IF(ISNUMBER(INDEX(Database!$H$6:$H$197, MATCH($B8&amp;"USD bn", Database!$AD$6:$AD$197, 0))), INDEX(Database!$H$6:$H$197, MATCH($B8&amp;"USD bn", Database!$AD$6:$AD$197, 0)), "")</f>
        <v>13.808448829914081</v>
      </c>
      <c r="E8" s="832">
        <f>IF(ISNUMBER(INDEX(Database!$J$6:$J$197, MATCH($B8&amp;"USD bn", Database!$AD$6:$AD$197, 0))), INDEX(Database!$J$6:$J$197, MATCH($B8&amp;"USD bn", Database!$AD$6:$AD$197, 0)), "")</f>
        <v>235.91734825908208</v>
      </c>
      <c r="F8" s="833" t="str">
        <f>IF(ISNUMBER(INDEX(Database!$L$6:$L$197, MATCH($B8&amp;"USD bn", Database!$AD$6:$AD$197, 0))), INDEX(Database!$L$6:$L$197, MATCH($B8&amp;"USD bn", Database!$AD$6:$AD$197, 0)), "")</f>
        <v/>
      </c>
      <c r="G8" s="832"/>
      <c r="H8" s="831">
        <f>IF(ISNUMBER(INDEX(Database!$P$6:$P$197, MATCH($B8&amp;"USD bn", Database!$AD$6:$AD$197, 0))), INDEX(Database!$P$6:$P$197, MATCH($B8&amp;"USD bn", Database!$AD$6:$AD$197, 0)), "")</f>
        <v>24.164785452349641</v>
      </c>
      <c r="I8" s="832">
        <f>IF(ISNUMBER(INDEX(Database!$Q$6:$Q$197, MATCH($B8&amp;"USD bn", Database!$AD$6:$AD$197, 0))), INDEX(Database!$Q$6:$Q$197, MATCH($B8&amp;"USD bn", Database!$AD$6:$AD$197, 0)), "")</f>
        <v>10.356336622435562</v>
      </c>
      <c r="J8" s="832"/>
      <c r="K8" s="832">
        <f>IF(ISNUMBER(INDEX(Database!$U$6:$U$197, MATCH($B8&amp;"USD bn", Database!$AD$6:$AD$197, 0))), INDEX(Database!$U$6:$U$197, MATCH($B8&amp;"USD bn", Database!$AD$6:$AD$197, 0)), "")</f>
        <v>13.808448829914079</v>
      </c>
      <c r="L8" s="832" t="str">
        <f>IF(ISNUMBER(INDEX(Database!$W$6:$W$197, MATCH($B8&amp;"USD bn", Database!$AD$6:$AD$197, 0))), INDEX(Database!$W$6:$W$197, MATCH($B8&amp;"USD bn", Database!$AD$6:$AD$197, 0)), "")</f>
        <v/>
      </c>
      <c r="M8" s="834"/>
      <c r="N8" s="834"/>
      <c r="O8" s="835">
        <f>IF(ISNUMBER(INDEX(Database!$G$6:$G$197, MATCH($B8&amp;"% GDP", Database!$AD$6:$AD$197, 0))), INDEX(Database!$G$6:$G$197, MATCH($B8&amp;"% GDP", Database!$AD$6:$AD$197, 0)), "")</f>
        <v>18.370673152863606</v>
      </c>
      <c r="P8" s="836">
        <f>IF(ISNUMBER(INDEX(Database!$H$6:$H$197, MATCH($B8&amp;"% GDP", Database!$AD$6:$AD$197, 0))), INDEX(Database!$H$6:$H$197, MATCH($B8&amp;"% GDP", Database!$AD$6:$AD$197, 0)), "")</f>
        <v>1.0157961378415044</v>
      </c>
      <c r="Q8" s="836">
        <f>IF(ISNUMBER(INDEX(Database!$J$6:$J$197, MATCH($B8&amp;"% GDP", Database!$AD$6:$AD$197, 0))), INDEX(Database!$J$6:$J$197, MATCH($B8&amp;"% GDP", Database!$AD$6:$AD$197, 0)), "")</f>
        <v>17.354877015022101</v>
      </c>
      <c r="R8" s="836" t="str">
        <f>IF(ISNUMBER(INDEX(Database!$L$6:$L$197, MATCH($B8&amp;"% GDP", Database!$AD$6:$AD$197, 0))), INDEX(Database!$L$6:$L$197, MATCH($B8&amp;"% GDP", Database!$AD$6:$AD$197, 0)), "")</f>
        <v/>
      </c>
      <c r="S8" s="836"/>
      <c r="T8" s="835">
        <f>IF(ISNUMBER(INDEX(Database!$P$6:$P$197, MATCH($B8&amp;"% GDP", Database!$AD$6:$AD$197, 0))), INDEX(Database!$P$6:$P$197, MATCH($B8&amp;"% GDP", Database!$AD$6:$AD$197, 0)), "")</f>
        <v>1.7776432412226328</v>
      </c>
      <c r="U8" s="836">
        <f>IF(ISNUMBER(INDEX(Database!$Q$6:$Q$197, MATCH($B8&amp;"% GDP", Database!$AD$6:$AD$197, 0))), INDEX(Database!$Q$6:$Q$197, MATCH($B8&amp;"% GDP", Database!$AD$6:$AD$197, 0)), "")</f>
        <v>0.76184710338112827</v>
      </c>
      <c r="V8" s="836"/>
      <c r="W8" s="836">
        <f>IF(ISNUMBER(INDEX(Database!$U$6:$U$197, MATCH($B8&amp;"% GDP", Database!$AD$6:$AD$197, 0))), INDEX(Database!$U$6:$U$197, MATCH($B8&amp;"% GDP", Database!$AD$6:$AD$197, 0)), "")</f>
        <v>1.0157961378415044</v>
      </c>
      <c r="X8" s="836" t="str">
        <f>IF(ISNUMBER(INDEX(Database!$W$6:$W$197, MATCH($B8&amp;"% GDP", Database!$AD$6:$AD$197, 0))), INDEX(Database!$W$6:$W$197, MATCH($B8&amp;"% GDP", Database!$AD$6:$AD$197, 0)), "")</f>
        <v/>
      </c>
      <c r="AB8" s="562"/>
    </row>
    <row r="9" spans="1:28">
      <c r="A9" s="559"/>
      <c r="B9" s="764" t="s">
        <v>1</v>
      </c>
      <c r="C9" s="831">
        <f>IF(ISNUMBER(INDEX(Database!$G$6:$G$197, MATCH($B9&amp;"USD bn", Database!$AD$6:$AD$197, 0))), INDEX(Database!$G$6:$G$197, MATCH($B9&amp;"USD bn", Database!$AD$6:$AD$197, 0)), "")</f>
        <v>261.78973301959445</v>
      </c>
      <c r="D9" s="832">
        <f>IF(ISNUMBER(INDEX(Database!$H$6:$H$197, MATCH($B9&amp;"USD bn", Database!$AD$6:$AD$197, 0))), INDEX(Database!$H$6:$H$197, MATCH($B9&amp;"USD bn", Database!$AD$6:$AD$197, 0)), "")</f>
        <v>45.632388666474455</v>
      </c>
      <c r="E9" s="832">
        <f>IF(ISNUMBER(INDEX(Database!$J$6:$J$197, MATCH($B9&amp;"USD bn", Database!$AD$6:$AD$197, 0))), INDEX(Database!$J$6:$J$197, MATCH($B9&amp;"USD bn", Database!$AD$6:$AD$197, 0)), "")</f>
        <v>216.15734435311998</v>
      </c>
      <c r="F9" s="833">
        <f>IF(ISNUMBER(INDEX(Database!$L$6:$L$197, MATCH($B9&amp;"USD bn", Database!$AD$6:$AD$197, 0))), INDEX(Database!$L$6:$L$197, MATCH($B9&amp;"USD bn", Database!$AD$6:$AD$197, 0)), "")</f>
        <v>68.027303732528338</v>
      </c>
      <c r="G9" s="832"/>
      <c r="H9" s="831">
        <f>IF(ISNUMBER(INDEX(Database!$P$6:$P$197, MATCH($B9&amp;"USD bn", Database!$AD$6:$AD$197, 0))), INDEX(Database!$P$6:$P$197, MATCH($B9&amp;"USD bn", Database!$AD$6:$AD$197, 0)), "")</f>
        <v>64.944134850488979</v>
      </c>
      <c r="I9" s="832">
        <f>IF(ISNUMBER(INDEX(Database!$Q$6:$Q$197, MATCH($B9&amp;"USD bn", Database!$AD$6:$AD$197, 0))), INDEX(Database!$Q$6:$Q$197, MATCH($B9&amp;"USD bn", Database!$AD$6:$AD$197, 0)), "")</f>
        <v>3.8772617821187447</v>
      </c>
      <c r="J9" s="832"/>
      <c r="K9" s="832">
        <f>IF(ISNUMBER(INDEX(Database!$U$6:$U$197, MATCH($B9&amp;"USD bn", Database!$AD$6:$AD$197, 0))), INDEX(Database!$U$6:$U$197, MATCH($B9&amp;"USD bn", Database!$AD$6:$AD$197, 0)), "")</f>
        <v>61.066873068370228</v>
      </c>
      <c r="L9" s="832" t="str">
        <f>IF(ISNUMBER(INDEX(Database!$W$6:$W$197, MATCH($B9&amp;"USD bn", Database!$AD$6:$AD$197, 0))), INDEX(Database!$W$6:$W$197, MATCH($B9&amp;"USD bn", Database!$AD$6:$AD$197, 0)), "")</f>
        <v/>
      </c>
      <c r="M9" s="834"/>
      <c r="N9" s="834"/>
      <c r="O9" s="835">
        <f>IF(ISNUMBER(INDEX(Database!$G$6:$G$197, MATCH($B9&amp;"% GDP", Database!$AD$6:$AD$197, 0))), INDEX(Database!$G$6:$G$197, MATCH($B9&amp;"% GDP", Database!$AD$6:$AD$197, 0)), "")</f>
        <v>15.923588544631171</v>
      </c>
      <c r="P9" s="836">
        <f>IF(ISNUMBER(INDEX(Database!$H$6:$H$197, MATCH($B9&amp;"% GDP", Database!$AD$6:$AD$197, 0))), INDEX(Database!$H$6:$H$197, MATCH($B9&amp;"% GDP", Database!$AD$6:$AD$197, 0)), "")</f>
        <v>2.77562978903853</v>
      </c>
      <c r="Q9" s="836">
        <f>IF(ISNUMBER(INDEX(Database!$J$6:$J$197, MATCH($B9&amp;"% GDP", Database!$AD$6:$AD$197, 0))), INDEX(Database!$J$6:$J$197, MATCH($B9&amp;"% GDP", Database!$AD$6:$AD$197, 0)), "")</f>
        <v>13.147958755592642</v>
      </c>
      <c r="R9" s="836">
        <f>IF(ISNUMBER(INDEX(Database!$L$6:$L$197, MATCH($B9&amp;"% GDP", Database!$AD$6:$AD$197, 0))), INDEX(Database!$L$6:$L$197, MATCH($B9&amp;"% GDP", Database!$AD$6:$AD$197, 0)), "")</f>
        <v>3.8595767164571715</v>
      </c>
      <c r="S9" s="836"/>
      <c r="T9" s="835">
        <f>IF(ISNUMBER(INDEX(Database!$P$6:$P$197, MATCH($B9&amp;"% GDP", Database!$AD$6:$AD$197, 0))), INDEX(Database!$P$6:$P$197, MATCH($B9&amp;"% GDP", Database!$AD$6:$AD$197, 0)), "")</f>
        <v>3.9502835723081042</v>
      </c>
      <c r="U9" s="836">
        <f>IF(ISNUMBER(INDEX(Database!$Q$6:$Q$197, MATCH($B9&amp;"% GDP", Database!$AD$6:$AD$197, 0))), INDEX(Database!$Q$6:$Q$197, MATCH($B9&amp;"% GDP", Database!$AD$6:$AD$197, 0)), "")</f>
        <v>0.23583782521242411</v>
      </c>
      <c r="V9" s="836"/>
      <c r="W9" s="836">
        <f>IF(ISNUMBER(INDEX(Database!$U$6:$U$197, MATCH($B9&amp;"% GDP", Database!$AD$6:$AD$197, 0))), INDEX(Database!$U$6:$U$197, MATCH($B9&amp;"% GDP", Database!$AD$6:$AD$197, 0)), "")</f>
        <v>3.71444574709568</v>
      </c>
      <c r="X9" s="836" t="str">
        <f>IF(ISNUMBER(INDEX(Database!$W$6:$W$197, MATCH($B9&amp;"% GDP", Database!$AD$6:$AD$197, 0))), INDEX(Database!$W$6:$W$197, MATCH($B9&amp;"% GDP", Database!$AD$6:$AD$197, 0)), "")</f>
        <v/>
      </c>
      <c r="AB9" s="562"/>
    </row>
    <row r="10" spans="1:28">
      <c r="A10" s="559"/>
      <c r="B10" s="764" t="s">
        <v>430</v>
      </c>
      <c r="C10" s="831">
        <f>IF(ISNUMBER(INDEX(Database!$G$6:$G$197, MATCH($B10&amp;"USD bn", Database!$AD$6:$AD$197, 0))), INDEX(Database!$G$6:$G$197, MATCH($B10&amp;"USD bn", Database!$AD$6:$AD$197, 0)), "")</f>
        <v>488.29744352478542</v>
      </c>
      <c r="D10" s="832">
        <f>IF(ISNUMBER(INDEX(Database!$H$6:$H$197, MATCH($B10&amp;"USD bn", Database!$AD$6:$AD$197, 0))), INDEX(Database!$H$6:$H$197, MATCH($B10&amp;"USD bn", Database!$AD$6:$AD$197, 0)), "")</f>
        <v>5.706409296772063E-2</v>
      </c>
      <c r="E10" s="832">
        <f>IF(ISNUMBER(INDEX(Database!$J$6:$J$197, MATCH($B10&amp;"USD bn", Database!$AD$6:$AD$197, 0))), INDEX(Database!$J$6:$J$197, MATCH($B10&amp;"USD bn", Database!$AD$6:$AD$197, 0)), "")</f>
        <v>488.2403794318177</v>
      </c>
      <c r="F10" s="833" t="str">
        <f>IF(ISNUMBER(INDEX(Database!$L$6:$L$197, MATCH($B10&amp;"USD bn", Database!$AD$6:$AD$197, 0))), INDEX(Database!$L$6:$L$197, MATCH($B10&amp;"USD bn", Database!$AD$6:$AD$197, 0)), "")</f>
        <v/>
      </c>
      <c r="G10" s="832"/>
      <c r="H10" s="831">
        <f>IF(ISNUMBER(INDEX(Database!$P$6:$P$197, MATCH($B10&amp;"USD bn", Database!$AD$6:$AD$197, 0))), INDEX(Database!$P$6:$P$197, MATCH($B10&amp;"USD bn", Database!$AD$6:$AD$197, 0)), "")</f>
        <v>873.0806224061256</v>
      </c>
      <c r="I10" s="832">
        <f>IF(ISNUMBER(INDEX(Database!$Q$6:$Q$197, MATCH($B10&amp;"USD bn", Database!$AD$6:$AD$197, 0))), INDEX(Database!$Q$6:$Q$197, MATCH($B10&amp;"USD bn", Database!$AD$6:$AD$197, 0)), "")</f>
        <v>798.89730154808876</v>
      </c>
      <c r="J10" s="832"/>
      <c r="K10" s="832">
        <f>IF(ISNUMBER(INDEX(Database!$U$6:$U$197, MATCH($B10&amp;"USD bn", Database!$AD$6:$AD$197, 0))), INDEX(Database!$U$6:$U$197, MATCH($B10&amp;"USD bn", Database!$AD$6:$AD$197, 0)), "")</f>
        <v>74.183320858036808</v>
      </c>
      <c r="L10" s="832" t="str">
        <f>IF(ISNUMBER(INDEX(Database!$W$6:$W$197, MATCH($B10&amp;"USD bn", Database!$AD$6:$AD$197, 0))), INDEX(Database!$W$6:$W$197, MATCH($B10&amp;"USD bn", Database!$AD$6:$AD$197, 0)), "")</f>
        <v/>
      </c>
      <c r="M10" s="834"/>
      <c r="N10" s="834"/>
      <c r="O10" s="835">
        <f>IF(ISNUMBER(INDEX(Database!$G$6:$G$197, MATCH($B10&amp;"% GDP", Database!$AD$6:$AD$197, 0))), INDEX(Database!$G$6:$G$197, MATCH($B10&amp;"% GDP", Database!$AD$6:$AD$197, 0)), "")</f>
        <v>3.7559632555567588</v>
      </c>
      <c r="P10" s="836">
        <f>IF(ISNUMBER(INDEX(Database!$H$6:$H$197, MATCH($B10&amp;"% GDP", Database!$AD$6:$AD$197, 0))), INDEX(Database!$H$6:$H$197, MATCH($B10&amp;"% GDP", Database!$AD$6:$AD$197, 0)), "")</f>
        <v>4.3893458636867576E-4</v>
      </c>
      <c r="Q10" s="836">
        <f>IF(ISNUMBER(INDEX(Database!$J$6:$J$197, MATCH($B10&amp;"% GDP", Database!$AD$6:$AD$197, 0))), INDEX(Database!$J$6:$J$197, MATCH($B10&amp;"% GDP", Database!$AD$6:$AD$197, 0)), "")</f>
        <v>3.7555243209703901</v>
      </c>
      <c r="R10" s="836" t="str">
        <f>IF(ISNUMBER(INDEX(Database!$L$6:$L$197, MATCH($B10&amp;"% GDP", Database!$AD$6:$AD$197, 0))), INDEX(Database!$L$6:$L$197, MATCH($B10&amp;"% GDP", Database!$AD$6:$AD$197, 0)), "")</f>
        <v/>
      </c>
      <c r="S10" s="836"/>
      <c r="T10" s="835">
        <f>IF(ISNUMBER(INDEX(Database!$P$6:$P$197, MATCH($B10&amp;"% GDP", Database!$AD$6:$AD$197, 0))), INDEX(Database!$P$6:$P$197, MATCH($B10&amp;"% GDP", Database!$AD$6:$AD$197, 0)), "")</f>
        <v>6.7156991714407397</v>
      </c>
      <c r="U10" s="836">
        <f>IF(ISNUMBER(INDEX(Database!$Q$6:$Q$197, MATCH($B10&amp;"% GDP", Database!$AD$6:$AD$197, 0))), INDEX(Database!$Q$6:$Q$197, MATCH($B10&amp;"% GDP", Database!$AD$6:$AD$197, 0)), "")</f>
        <v>6.1450842091614613</v>
      </c>
      <c r="V10" s="836"/>
      <c r="W10" s="836">
        <f>IF(ISNUMBER(INDEX(Database!$U$6:$U$197, MATCH($B10&amp;"% GDP", Database!$AD$6:$AD$197, 0))), INDEX(Database!$U$6:$U$197, MATCH($B10&amp;"% GDP", Database!$AD$6:$AD$197, 0)), "")</f>
        <v>0.57061496227927855</v>
      </c>
      <c r="X10" s="836" t="str">
        <f>IF(ISNUMBER(INDEX(Database!$W$6:$W$197, MATCH($B10&amp;"% GDP", Database!$AD$6:$AD$197, 0))), INDEX(Database!$W$6:$W$197, MATCH($B10&amp;"% GDP", Database!$AD$6:$AD$197, 0)), "")</f>
        <v/>
      </c>
      <c r="AB10" s="562"/>
    </row>
    <row r="11" spans="1:28">
      <c r="A11" s="559"/>
      <c r="B11" s="764" t="s">
        <v>2</v>
      </c>
      <c r="C11" s="831">
        <f>IF(ISNUMBER(INDEX(Database!$G$6:$G$197, MATCH($B11&amp;"USD bn", Database!$AD$6:$AD$197, 0))), INDEX(Database!$G$6:$G$197, MATCH($B11&amp;"USD bn", Database!$AD$6:$AD$197, 0)), "")</f>
        <v>252.88463784604201</v>
      </c>
      <c r="D11" s="832">
        <f>IF(ISNUMBER(INDEX(Database!$H$6:$H$197, MATCH($B11&amp;"USD bn", Database!$AD$6:$AD$197, 0))), INDEX(Database!$H$6:$H$197, MATCH($B11&amp;"USD bn", Database!$AD$6:$AD$197, 0)), "")</f>
        <v>38.633570180174964</v>
      </c>
      <c r="E11" s="832">
        <f>IF(ISNUMBER(INDEX(Database!$J$6:$J$197, MATCH($B11&amp;"USD bn", Database!$AD$6:$AD$197, 0))), INDEX(Database!$J$6:$J$197, MATCH($B11&amp;"USD bn", Database!$AD$6:$AD$197, 0)), "")</f>
        <v>214.25106766586705</v>
      </c>
      <c r="F11" s="833">
        <f>IF(ISNUMBER(INDEX(Database!$L$6:$L$197, MATCH($B11&amp;"USD bn", Database!$AD$6:$AD$197, 0))), INDEX(Database!$L$6:$L$197, MATCH($B11&amp;"USD bn", Database!$AD$6:$AD$197, 0)), "")</f>
        <v>79.204517036051911</v>
      </c>
      <c r="G11" s="832"/>
      <c r="H11" s="831">
        <f>IF(ISNUMBER(INDEX(Database!$P$6:$P$197, MATCH($B11&amp;"USD bn", Database!$AD$6:$AD$197, 0))), INDEX(Database!$P$6:$P$197, MATCH($B11&amp;"USD bn", Database!$AD$6:$AD$197, 0)), "")</f>
        <v>399.21355852847461</v>
      </c>
      <c r="I11" s="832">
        <f>IF(ISNUMBER(INDEX(Database!$Q$6:$Q$197, MATCH($B11&amp;"USD bn", Database!$AD$6:$AD$197, 0))), INDEX(Database!$Q$6:$Q$197, MATCH($B11&amp;"USD bn", Database!$AD$6:$AD$197, 0)), "")</f>
        <v>18.006206750642018</v>
      </c>
      <c r="J11" s="832"/>
      <c r="K11" s="832">
        <f>IF(ISNUMBER(INDEX(Database!$U$6:$U$197, MATCH($B11&amp;"USD bn", Database!$AD$6:$AD$197, 0))), INDEX(Database!$U$6:$U$197, MATCH($B11&amp;"USD bn", Database!$AD$6:$AD$197, 0)), "")</f>
        <v>381.20735177783257</v>
      </c>
      <c r="L11" s="832" t="str">
        <f>IF(ISNUMBER(INDEX(Database!$W$6:$W$197, MATCH($B11&amp;"USD bn", Database!$AD$6:$AD$197, 0))), INDEX(Database!$W$6:$W$197, MATCH($B11&amp;"USD bn", Database!$AD$6:$AD$197, 0)), "")</f>
        <v/>
      </c>
      <c r="M11" s="834"/>
      <c r="N11" s="834"/>
      <c r="O11" s="835">
        <f>IF(ISNUMBER(INDEX(Database!$G$6:$G$197, MATCH($B11&amp;"% GDP", Database!$AD$6:$AD$197, 0))), INDEX(Database!$G$6:$G$197, MATCH($B11&amp;"% GDP", Database!$AD$6:$AD$197, 0)), "")</f>
        <v>9.6358441242628725</v>
      </c>
      <c r="P11" s="836">
        <f>IF(ISNUMBER(INDEX(Database!$H$6:$H$197, MATCH($B11&amp;"% GDP", Database!$AD$6:$AD$197, 0))), INDEX(Database!$H$6:$H$197, MATCH($B11&amp;"% GDP", Database!$AD$6:$AD$197, 0)), "")</f>
        <v>1.4720825408405198</v>
      </c>
      <c r="Q11" s="836">
        <f>IF(ISNUMBER(INDEX(Database!$J$6:$J$197, MATCH($B11&amp;"% GDP", Database!$AD$6:$AD$197, 0))), INDEX(Database!$J$6:$J$197, MATCH($B11&amp;"% GDP", Database!$AD$6:$AD$197, 0)), "")</f>
        <v>8.1637615834223514</v>
      </c>
      <c r="R11" s="836">
        <f>IF(ISNUMBER(INDEX(Database!$L$6:$L$197, MATCH($B11&amp;"% GDP", Database!$AD$6:$AD$197, 0))), INDEX(Database!$L$6:$L$197, MATCH($B11&amp;"% GDP", Database!$AD$6:$AD$197, 0)), "")</f>
        <v>3.017986330041774</v>
      </c>
      <c r="S11" s="836"/>
      <c r="T11" s="835">
        <f>IF(ISNUMBER(INDEX(Database!$P$6:$P$197, MATCH($B11&amp;"% GDP", Database!$AD$6:$AD$197, 0))), INDEX(Database!$P$6:$P$197, MATCH($B11&amp;"% GDP", Database!$AD$6:$AD$197, 0)), "")</f>
        <v>15.211519588685375</v>
      </c>
      <c r="U11" s="836">
        <f>IF(ISNUMBER(INDEX(Database!$Q$6:$Q$197, MATCH($B11&amp;"% GDP", Database!$AD$6:$AD$197, 0))), INDEX(Database!$Q$6:$Q$197, MATCH($B11&amp;"% GDP", Database!$AD$6:$AD$197, 0)), "")</f>
        <v>0.68610336711741049</v>
      </c>
      <c r="V11" s="836"/>
      <c r="W11" s="836">
        <f>IF(ISNUMBER(INDEX(Database!$U$6:$U$197, MATCH($B11&amp;"% GDP", Database!$AD$6:$AD$197, 0))), INDEX(Database!$U$6:$U$197, MATCH($B11&amp;"% GDP", Database!$AD$6:$AD$197, 0)), "")</f>
        <v>14.525416221567964</v>
      </c>
      <c r="X11" s="836" t="str">
        <f>IF(ISNUMBER(INDEX(Database!$W$6:$W$197, MATCH($B11&amp;"% GDP", Database!$AD$6:$AD$197, 0))), INDEX(Database!$W$6:$W$197, MATCH($B11&amp;"% GDP", Database!$AD$6:$AD$197, 0)), "")</f>
        <v/>
      </c>
      <c r="AB11" s="562"/>
    </row>
    <row r="12" spans="1:28">
      <c r="A12" s="559"/>
      <c r="B12" s="764" t="s">
        <v>3</v>
      </c>
      <c r="C12" s="831">
        <f>IF(ISNUMBER(INDEX(Database!$G$6:$G$197, MATCH($B12&amp;"USD bn", Database!$AD$6:$AD$197, 0))), INDEX(Database!$G$6:$G$197, MATCH($B12&amp;"USD bn", Database!$AD$6:$AD$197, 0)), "")</f>
        <v>588.90143942687689</v>
      </c>
      <c r="D12" s="832">
        <f>IF(ISNUMBER(INDEX(Database!$H$6:$H$197, MATCH($B12&amp;"USD bn", Database!$AD$6:$AD$197, 0))), INDEX(Database!$H$6:$H$197, MATCH($B12&amp;"USD bn", Database!$AD$6:$AD$197, 0)), "")</f>
        <v>69.618193420619164</v>
      </c>
      <c r="E12" s="832">
        <f>IF(ISNUMBER(INDEX(Database!$J$6:$J$197, MATCH($B12&amp;"USD bn", Database!$AD$6:$AD$197, 0))), INDEX(Database!$J$6:$J$197, MATCH($B12&amp;"USD bn", Database!$AD$6:$AD$197, 0)), "")</f>
        <v>519.28324600625774</v>
      </c>
      <c r="F12" s="833" t="str">
        <f>IF(ISNUMBER(INDEX(Database!$L$6:$L$197, MATCH($B12&amp;"USD bn", Database!$AD$6:$AD$197, 0))), INDEX(Database!$L$6:$L$197, MATCH($B12&amp;"USD bn", Database!$AD$6:$AD$197, 0)), "")</f>
        <v/>
      </c>
      <c r="G12" s="832"/>
      <c r="H12" s="831">
        <f>IF(ISNUMBER(INDEX(Database!$P$6:$P$197, MATCH($B12&amp;"USD bn", Database!$AD$6:$AD$197, 0))), INDEX(Database!$P$6:$P$197, MATCH($B12&amp;"USD bn", Database!$AD$6:$AD$197, 0)), "")</f>
        <v>1057.9682836215404</v>
      </c>
      <c r="I12" s="832">
        <f>IF(ISNUMBER(INDEX(Database!$Q$6:$Q$197, MATCH($B12&amp;"USD bn", Database!$AD$6:$AD$197, 0))), INDEX(Database!$Q$6:$Q$197, MATCH($B12&amp;"USD bn", Database!$AD$6:$AD$197, 0)), "")</f>
        <v>114.12818593544125</v>
      </c>
      <c r="J12" s="832"/>
      <c r="K12" s="832">
        <f>IF(ISNUMBER(INDEX(Database!$U$6:$U$197, MATCH($B12&amp;"USD bn", Database!$AD$6:$AD$197, 0))), INDEX(Database!$U$6:$U$197, MATCH($B12&amp;"USD bn", Database!$AD$6:$AD$197, 0)), "")</f>
        <v>943.84009768609917</v>
      </c>
      <c r="L12" s="832" t="str">
        <f>IF(ISNUMBER(INDEX(Database!$W$6:$W$197, MATCH($B12&amp;"USD bn", Database!$AD$6:$AD$197, 0))), INDEX(Database!$W$6:$W$197, MATCH($B12&amp;"USD bn", Database!$AD$6:$AD$197, 0)), "")</f>
        <v/>
      </c>
      <c r="M12" s="834"/>
      <c r="N12" s="834"/>
      <c r="O12" s="835">
        <f>IF(ISNUMBER(INDEX(Database!$G$6:$G$197, MATCH($B12&amp;"% GDP", Database!$AD$6:$AD$197, 0))), INDEX(Database!$G$6:$G$197, MATCH($B12&amp;"% GDP", Database!$AD$6:$AD$197, 0)), "")</f>
        <v>15.322666856715248</v>
      </c>
      <c r="P12" s="836">
        <f>IF(ISNUMBER(INDEX(Database!$H$6:$H$197, MATCH($B12&amp;"% GDP", Database!$AD$6:$AD$197, 0))), INDEX(Database!$H$6:$H$197, MATCH($B12&amp;"% GDP", Database!$AD$6:$AD$197, 0)), "")</f>
        <v>1.8114005392628492</v>
      </c>
      <c r="Q12" s="836">
        <f>IF(ISNUMBER(INDEX(Database!$J$6:$J$197, MATCH($B12&amp;"% GDP", Database!$AD$6:$AD$197, 0))), INDEX(Database!$J$6:$J$197, MATCH($B12&amp;"% GDP", Database!$AD$6:$AD$197, 0)), "")</f>
        <v>13.638352846668944</v>
      </c>
      <c r="R12" s="836" t="str">
        <f>IF(ISNUMBER(INDEX(Database!$L$6:$L$197, MATCH($B12&amp;"% GDP", Database!$AD$6:$AD$197, 0))), INDEX(Database!$L$6:$L$197, MATCH($B12&amp;"% GDP", Database!$AD$6:$AD$197, 0)), "")</f>
        <v/>
      </c>
      <c r="S12" s="836"/>
      <c r="T12" s="835">
        <f>IF(ISNUMBER(INDEX(Database!$P$6:$P$197, MATCH($B12&amp;"% GDP", Database!$AD$6:$AD$197, 0))), INDEX(Database!$P$6:$P$197, MATCH($B12&amp;"% GDP", Database!$AD$6:$AD$197, 0)), "")</f>
        <v>27.786270524971673</v>
      </c>
      <c r="U12" s="836">
        <f>IF(ISNUMBER(INDEX(Database!$Q$6:$Q$197, MATCH($B12&amp;"% GDP", Database!$AD$6:$AD$197, 0))), INDEX(Database!$Q$6:$Q$197, MATCH($B12&amp;"% GDP", Database!$AD$6:$AD$197, 0)), "")</f>
        <v>2.9974401860810866</v>
      </c>
      <c r="V12" s="836"/>
      <c r="W12" s="836">
        <f>IF(ISNUMBER(INDEX(Database!$U$6:$U$197, MATCH($B12&amp;"% GDP", Database!$AD$6:$AD$197, 0))), INDEX(Database!$U$6:$U$197, MATCH($B12&amp;"% GDP", Database!$AD$6:$AD$197, 0)), "")</f>
        <v>24.788830338890588</v>
      </c>
      <c r="X12" s="836" t="str">
        <f>IF(ISNUMBER(INDEX(Database!$W$6:$W$197, MATCH($B12&amp;"% GDP", Database!$AD$6:$AD$197, 0))), INDEX(Database!$W$6:$W$197, MATCH($B12&amp;"% GDP", Database!$AD$6:$AD$197, 0)), "")</f>
        <v/>
      </c>
      <c r="AB12" s="562"/>
    </row>
    <row r="13" spans="1:28">
      <c r="A13" s="559"/>
      <c r="B13" s="764" t="s">
        <v>4</v>
      </c>
      <c r="C13" s="831">
        <f>IF(ISNUMBER(INDEX(Database!$G$6:$G$197, MATCH($B13&amp;"USD bn", Database!$AD$6:$AD$197, 0))), INDEX(Database!$G$6:$G$197, MATCH($B13&amp;"USD bn", Database!$AD$6:$AD$197, 0)), "")</f>
        <v>205.43073468379424</v>
      </c>
      <c r="D13" s="832">
        <f>IF(ISNUMBER(INDEX(Database!$H$6:$H$197, MATCH($B13&amp;"USD bn", Database!$AD$6:$AD$197, 0))), INDEX(Database!$H$6:$H$197, MATCH($B13&amp;"USD bn", Database!$AD$6:$AD$197, 0)), "")</f>
        <v>22.825637187088251</v>
      </c>
      <c r="E13" s="832">
        <f>IF(ISNUMBER(INDEX(Database!$J$6:$J$197, MATCH($B13&amp;"USD bn", Database!$AD$6:$AD$197, 0))), INDEX(Database!$J$6:$J$197, MATCH($B13&amp;"USD bn", Database!$AD$6:$AD$197, 0)), "")</f>
        <v>182.60509749670601</v>
      </c>
      <c r="F13" s="833">
        <f>IF(ISNUMBER(INDEX(Database!$L$6:$L$197, MATCH($B13&amp;"USD bn", Database!$AD$6:$AD$197, 0))), INDEX(Database!$L$6:$L$197, MATCH($B13&amp;"USD bn", Database!$AD$6:$AD$197, 0)), "")</f>
        <v>7.9889730154808873</v>
      </c>
      <c r="G13" s="832"/>
      <c r="H13" s="831">
        <f>IF(ISNUMBER(INDEX(Database!$P$6:$P$197, MATCH($B13&amp;"USD bn", Database!$AD$6:$AD$197, 0))), INDEX(Database!$P$6:$P$197, MATCH($B13&amp;"USD bn", Database!$AD$6:$AD$197, 0)), "")</f>
        <v>664.51136260910664</v>
      </c>
      <c r="I13" s="832">
        <f>IF(ISNUMBER(INDEX(Database!$Q$6:$Q$197, MATCH($B13&amp;"USD bn", Database!$AD$6:$AD$197, 0))), INDEX(Database!$Q$6:$Q$197, MATCH($B13&amp;"USD bn", Database!$AD$6:$AD$197, 0)), "")</f>
        <v>3.7091660429018405</v>
      </c>
      <c r="J13" s="832"/>
      <c r="K13" s="832">
        <f>IF(ISNUMBER(INDEX(Database!$U$6:$U$197, MATCH($B13&amp;"USD bn", Database!$AD$6:$AD$197, 0))), INDEX(Database!$U$6:$U$197, MATCH($B13&amp;"USD bn", Database!$AD$6:$AD$197, 0)), "")</f>
        <v>660.80219656620488</v>
      </c>
      <c r="L13" s="832" t="str">
        <f>IF(ISNUMBER(INDEX(Database!$W$6:$W$197, MATCH($B13&amp;"USD bn", Database!$AD$6:$AD$197, 0))), INDEX(Database!$W$6:$W$197, MATCH($B13&amp;"USD bn", Database!$AD$6:$AD$197, 0)), "")</f>
        <v/>
      </c>
      <c r="M13" s="834"/>
      <c r="N13" s="834"/>
      <c r="O13" s="835">
        <f>IF(ISNUMBER(INDEX(Database!$G$6:$G$197, MATCH($B13&amp;"% GDP", Database!$AD$6:$AD$197, 0))), INDEX(Database!$G$6:$G$197, MATCH($B13&amp;"% GDP", Database!$AD$6:$AD$197, 0)), "")</f>
        <v>10.898555638640223</v>
      </c>
      <c r="P13" s="836">
        <f>IF(ISNUMBER(INDEX(Database!$H$6:$H$197, MATCH($B13&amp;"% GDP", Database!$AD$6:$AD$197, 0))), INDEX(Database!$H$6:$H$197, MATCH($B13&amp;"% GDP", Database!$AD$6:$AD$197, 0)), "")</f>
        <v>1.2109506265155805</v>
      </c>
      <c r="Q13" s="836">
        <f>IF(ISNUMBER(INDEX(Database!$J$6:$J$197, MATCH($B13&amp;"% GDP", Database!$AD$6:$AD$197, 0))), INDEX(Database!$J$6:$J$197, MATCH($B13&amp;"% GDP", Database!$AD$6:$AD$197, 0)), "")</f>
        <v>9.687605012124644</v>
      </c>
      <c r="R13" s="836">
        <f>IF(ISNUMBER(INDEX(Database!$L$6:$L$197, MATCH($B13&amp;"% GDP", Database!$AD$6:$AD$197, 0))), INDEX(Database!$L$6:$L$197, MATCH($B13&amp;"% GDP", Database!$AD$6:$AD$197, 0)), "")</f>
        <v>0.42383271928045313</v>
      </c>
      <c r="S13" s="836"/>
      <c r="T13" s="835">
        <f>IF(ISNUMBER(INDEX(Database!$P$6:$P$197, MATCH($B13&amp;"% GDP", Database!$AD$6:$AD$197, 0))), INDEX(Database!$P$6:$P$197, MATCH($B13&amp;"% GDP", Database!$AD$6:$AD$197, 0)), "")</f>
        <v>35.253800114434839</v>
      </c>
      <c r="U13" s="836">
        <f>IF(ISNUMBER(INDEX(Database!$Q$6:$Q$197, MATCH($B13&amp;"% GDP", Database!$AD$6:$AD$197, 0))), INDEX(Database!$Q$6:$Q$197, MATCH($B13&amp;"% GDP", Database!$AD$6:$AD$197, 0)), "")</f>
        <v>0.19677947680878183</v>
      </c>
      <c r="V13" s="836"/>
      <c r="W13" s="836">
        <f>IF(ISNUMBER(INDEX(Database!$U$6:$U$197, MATCH($B13&amp;"% GDP", Database!$AD$6:$AD$197, 0))), INDEX(Database!$U$6:$U$197, MATCH($B13&amp;"% GDP", Database!$AD$6:$AD$197, 0)), "")</f>
        <v>35.057020637626053</v>
      </c>
      <c r="X13" s="836" t="str">
        <f>IF(ISNUMBER(INDEX(Database!$W$6:$W$197, MATCH($B13&amp;"% GDP", Database!$AD$6:$AD$197, 0))), INDEX(Database!$W$6:$W$197, MATCH($B13&amp;"% GDP", Database!$AD$6:$AD$197, 0)), "")</f>
        <v/>
      </c>
      <c r="AB13" s="562"/>
    </row>
    <row r="14" spans="1:28">
      <c r="A14" s="559"/>
      <c r="B14" s="764" t="s">
        <v>5</v>
      </c>
      <c r="C14" s="831">
        <f>IF(ISNUMBER(INDEX(Database!$G$6:$G$197, MATCH($B14&amp;"USD bn", Database!$AD$6:$AD$197, 0))), INDEX(Database!$G$6:$G$197, MATCH($B14&amp;"USD bn", Database!$AD$6:$AD$197, 0)), "")</f>
        <v>843.8337860086101</v>
      </c>
      <c r="D14" s="832">
        <f>IF(ISNUMBER(INDEX(Database!$H$6:$H$197, MATCH($B14&amp;"USD bn", Database!$AD$6:$AD$197, 0))), INDEX(Database!$H$6:$H$197, MATCH($B14&amp;"USD bn", Database!$AD$6:$AD$197, 0)), "")</f>
        <v>104.89387795001592</v>
      </c>
      <c r="E14" s="832">
        <f>IF(ISNUMBER(INDEX(Database!$J$6:$J$197, MATCH($B14&amp;"USD bn", Database!$AD$6:$AD$197, 0))), INDEX(Database!$J$6:$J$197, MATCH($B14&amp;"USD bn", Database!$AD$6:$AD$197, 0)), "")</f>
        <v>738.93990805859426</v>
      </c>
      <c r="F14" s="833">
        <f>IF(ISNUMBER(INDEX(Database!$L$6:$L$197, MATCH($B14&amp;"USD bn", Database!$AD$6:$AD$197, 0))), INDEX(Database!$L$6:$L$197, MATCH($B14&amp;"USD bn", Database!$AD$6:$AD$197, 0)), "")</f>
        <v>27.16002196920055</v>
      </c>
      <c r="G14" s="832"/>
      <c r="H14" s="831">
        <f>IF(ISNUMBER(INDEX(Database!$P$6:$P$197, MATCH($B14&amp;"USD bn", Database!$AD$6:$AD$197, 0))), INDEX(Database!$P$6:$P$197, MATCH($B14&amp;"USD bn", Database!$AD$6:$AD$197, 0)), "")</f>
        <v>1429.1790870689667</v>
      </c>
      <c r="I14" s="832" t="str">
        <f>IF(ISNUMBER(INDEX(Database!$Q$6:$Q$197, MATCH($B14&amp;"USD bn", Database!$AD$6:$AD$197, 0))), INDEX(Database!$Q$6:$Q$197, MATCH($B14&amp;"USD bn", Database!$AD$6:$AD$197, 0)), "")</f>
        <v/>
      </c>
      <c r="J14" s="832"/>
      <c r="K14" s="832">
        <f>IF(ISNUMBER(INDEX(Database!$U$6:$U$197, MATCH($B14&amp;"USD bn", Database!$AD$6:$AD$197, 0))), INDEX(Database!$U$6:$U$197, MATCH($B14&amp;"USD bn", Database!$AD$6:$AD$197, 0)), "")</f>
        <v>147.0387396263616</v>
      </c>
      <c r="L14" s="832">
        <f>IF(ISNUMBER(INDEX(Database!$W$6:$W$197, MATCH($B14&amp;"USD bn", Database!$AD$6:$AD$197, 0))), INDEX(Database!$W$6:$W$197, MATCH($B14&amp;"USD bn", Database!$AD$6:$AD$197, 0)), "")</f>
        <v>1282.1403474426052</v>
      </c>
      <c r="M14" s="834"/>
      <c r="N14" s="834"/>
      <c r="O14" s="835">
        <f>IF(ISNUMBER(INDEX(Database!$G$6:$G$197, MATCH($B14&amp;"% GDP", Database!$AD$6:$AD$197, 0))), INDEX(Database!$G$6:$G$197, MATCH($B14&amp;"% GDP", Database!$AD$6:$AD$197, 0)), "")</f>
        <v>16.725807215115971</v>
      </c>
      <c r="P14" s="836">
        <f>IF(ISNUMBER(INDEX(Database!$H$6:$H$197, MATCH($B14&amp;"% GDP", Database!$AD$6:$AD$197, 0))), INDEX(Database!$H$6:$H$197, MATCH($B14&amp;"% GDP", Database!$AD$6:$AD$197, 0)), "")</f>
        <v>2.0791236493817857</v>
      </c>
      <c r="Q14" s="836">
        <f>IF(ISNUMBER(INDEX(Database!$J$6:$J$197, MATCH($B14&amp;"% GDP", Database!$AD$6:$AD$197, 0))), INDEX(Database!$J$6:$J$197, MATCH($B14&amp;"% GDP", Database!$AD$6:$AD$197, 0)), "")</f>
        <v>14.646683565734186</v>
      </c>
      <c r="R14" s="836">
        <f>IF(ISNUMBER(INDEX(Database!$L$6:$L$197, MATCH($B14&amp;"% GDP", Database!$AD$6:$AD$197, 0))), INDEX(Database!$L$6:$L$197, MATCH($B14&amp;"% GDP", Database!$AD$6:$AD$197, 0)), "")</f>
        <v>0.5383445163577838</v>
      </c>
      <c r="S14" s="836"/>
      <c r="T14" s="835">
        <f>IF(ISNUMBER(INDEX(Database!$P$6:$P$197, MATCH($B14&amp;"% GDP", Database!$AD$6:$AD$197, 0))), INDEX(Database!$P$6:$P$197, MATCH($B14&amp;"% GDP", Database!$AD$6:$AD$197, 0)), "")</f>
        <v>28.328059722826826</v>
      </c>
      <c r="U14" s="836" t="str">
        <f>IF(ISNUMBER(INDEX(Database!$Q$6:$Q$197, MATCH($B14&amp;"% GDP", Database!$AD$6:$AD$197, 0))), INDEX(Database!$Q$6:$Q$197, MATCH($B14&amp;"% GDP", Database!$AD$6:$AD$197, 0)), "")</f>
        <v/>
      </c>
      <c r="V14" s="836"/>
      <c r="W14" s="836">
        <f>IF(ISNUMBER(INDEX(Database!$U$6:$U$197, MATCH($B14&amp;"% GDP", Database!$AD$6:$AD$197, 0))), INDEX(Database!$U$6:$U$197, MATCH($B14&amp;"% GDP", Database!$AD$6:$AD$197, 0)), "")</f>
        <v>2.9144858299369676</v>
      </c>
      <c r="X14" s="836">
        <f>IF(ISNUMBER(INDEX(Database!$W$6:$W$197, MATCH($B14&amp;"% GDP", Database!$AD$6:$AD$197, 0))), INDEX(Database!$W$6:$W$197, MATCH($B14&amp;"% GDP", Database!$AD$6:$AD$197, 0)), "")</f>
        <v>25.413573892889861</v>
      </c>
      <c r="AB14" s="562"/>
    </row>
    <row r="15" spans="1:28">
      <c r="A15" s="559"/>
      <c r="B15" s="764" t="s">
        <v>6</v>
      </c>
      <c r="C15" s="831">
        <f>IF(ISNUMBER(INDEX(Database!$G$6:$G$197, MATCH($B15&amp;"USD bn", Database!$AD$6:$AD$197, 0))), INDEX(Database!$G$6:$G$197, MATCH($B15&amp;"USD bn", Database!$AD$6:$AD$197, 0)), "")</f>
        <v>104.83004568682564</v>
      </c>
      <c r="D15" s="832">
        <f>IF(ISNUMBER(INDEX(Database!$H$6:$H$197, MATCH($B15&amp;"USD bn", Database!$AD$6:$AD$197, 0))), INDEX(Database!$H$6:$H$197, MATCH($B15&amp;"USD bn", Database!$AD$6:$AD$197, 0)), "")</f>
        <v>11.949099791303487</v>
      </c>
      <c r="E15" s="832">
        <f>IF(ISNUMBER(INDEX(Database!$J$6:$J$197, MATCH($B15&amp;"USD bn", Database!$AD$6:$AD$197, 0))), INDEX(Database!$J$6:$J$197, MATCH($B15&amp;"USD bn", Database!$AD$6:$AD$197, 0)), "")</f>
        <v>92.880945895522146</v>
      </c>
      <c r="F15" s="833">
        <f>IF(ISNUMBER(INDEX(Database!$L$6:$L$197, MATCH($B15&amp;"USD bn", Database!$AD$6:$AD$197, 0))), INDEX(Database!$L$6:$L$197, MATCH($B15&amp;"USD bn", Database!$AD$6:$AD$197, 0)), "")</f>
        <v>27.965978234965611</v>
      </c>
      <c r="G15" s="832"/>
      <c r="H15" s="831">
        <f>IF(ISNUMBER(INDEX(Database!$P$6:$P$197, MATCH($B15&amp;"USD bn", Database!$AD$6:$AD$197, 0))), INDEX(Database!$P$6:$P$197, MATCH($B15&amp;"USD bn", Database!$AD$6:$AD$197, 0)), "")</f>
        <v>166.01621624938676</v>
      </c>
      <c r="I15" s="832" t="str">
        <f>IF(ISNUMBER(INDEX(Database!$Q$6:$Q$197, MATCH($B15&amp;"USD bn", Database!$AD$6:$AD$197, 0))), INDEX(Database!$Q$6:$Q$197, MATCH($B15&amp;"USD bn", Database!$AD$6:$AD$197, 0)), "")</f>
        <v/>
      </c>
      <c r="J15" s="832"/>
      <c r="K15" s="832">
        <f>IF(ISNUMBER(INDEX(Database!$U$6:$U$197, MATCH($B15&amp;"USD bn", Database!$AD$6:$AD$197, 0))), INDEX(Database!$U$6:$U$197, MATCH($B15&amp;"USD bn", Database!$AD$6:$AD$197, 0)), "")</f>
        <v>60.08448051088066</v>
      </c>
      <c r="L15" s="832">
        <f>IF(ISNUMBER(INDEX(Database!$W$6:$W$197, MATCH($B15&amp;"USD bn", Database!$AD$6:$AD$197, 0))), INDEX(Database!$W$6:$W$197, MATCH($B15&amp;"USD bn", Database!$AD$6:$AD$197, 0)), "")</f>
        <v>105.93173573850609</v>
      </c>
      <c r="M15" s="834"/>
      <c r="N15" s="834"/>
      <c r="O15" s="835">
        <f>IF(ISNUMBER(INDEX(Database!$G$6:$G$197, MATCH($B15&amp;"% GDP", Database!$AD$6:$AD$197, 0))), INDEX(Database!$G$6:$G$197, MATCH($B15&amp;"% GDP", Database!$AD$6:$AD$197, 0)), "")</f>
        <v>6.3988747084813387</v>
      </c>
      <c r="P15" s="836">
        <f>IF(ISNUMBER(INDEX(Database!$H$6:$H$197, MATCH($B15&amp;"% GDP", Database!$AD$6:$AD$197, 0))), INDEX(Database!$H$6:$H$197, MATCH($B15&amp;"% GDP", Database!$AD$6:$AD$197, 0)), "")</f>
        <v>0.7293786046045827</v>
      </c>
      <c r="Q15" s="836">
        <f>IF(ISNUMBER(INDEX(Database!$J$6:$J$197, MATCH($B15&amp;"% GDP", Database!$AD$6:$AD$197, 0))), INDEX(Database!$J$6:$J$197, MATCH($B15&amp;"% GDP", Database!$AD$6:$AD$197, 0)), "")</f>
        <v>5.6694961038767557</v>
      </c>
      <c r="R15" s="836">
        <f>IF(ISNUMBER(INDEX(Database!$L$6:$L$197, MATCH($B15&amp;"% GDP", Database!$AD$6:$AD$197, 0))), INDEX(Database!$L$6:$L$197, MATCH($B15&amp;"% GDP", Database!$AD$6:$AD$197, 0)), "")</f>
        <v>1.7070563086490231</v>
      </c>
      <c r="S15" s="836"/>
      <c r="T15" s="835">
        <f>IF(ISNUMBER(INDEX(Database!$P$6:$P$197, MATCH($B15&amp;"% GDP", Database!$AD$6:$AD$197, 0))), INDEX(Database!$P$6:$P$197, MATCH($B15&amp;"% GDP", Database!$AD$6:$AD$197, 0)), "")</f>
        <v>10.133706995889202</v>
      </c>
      <c r="U15" s="836" t="str">
        <f>IF(ISNUMBER(INDEX(Database!$Q$6:$Q$197, MATCH($B15&amp;"% GDP", Database!$AD$6:$AD$197, 0))), INDEX(Database!$Q$6:$Q$197, MATCH($B15&amp;"% GDP", Database!$AD$6:$AD$197, 0)), "")</f>
        <v/>
      </c>
      <c r="V15" s="836"/>
      <c r="W15" s="836">
        <f>IF(ISNUMBER(INDEX(Database!$U$6:$U$197, MATCH($B15&amp;"% GDP", Database!$AD$6:$AD$197, 0))), INDEX(Database!$U$6:$U$197, MATCH($B15&amp;"% GDP", Database!$AD$6:$AD$197, 0)), "")</f>
        <v>3.6675846146429012</v>
      </c>
      <c r="X15" s="836">
        <f>IF(ISNUMBER(INDEX(Database!$W$6:$W$197, MATCH($B15&amp;"% GDP", Database!$AD$6:$AD$197, 0))), INDEX(Database!$W$6:$W$197, MATCH($B15&amp;"% GDP", Database!$AD$6:$AD$197, 0)), "")</f>
        <v>6.4661223812463007</v>
      </c>
      <c r="AB15" s="562"/>
    </row>
    <row r="16" spans="1:28">
      <c r="A16" s="559"/>
      <c r="B16" s="764" t="s">
        <v>32</v>
      </c>
      <c r="C16" s="831">
        <f>IF(ISNUMBER(INDEX(Database!$G$6:$G$197, MATCH($B16&amp;"USD bn", Database!$AD$6:$AD$197, 0))), INDEX(Database!$G$6:$G$197, MATCH($B16&amp;"USD bn", Database!$AD$6:$AD$197, 0)), "")</f>
        <v>107.45168705821794</v>
      </c>
      <c r="D16" s="832">
        <f>IF(ISNUMBER(INDEX(Database!$H$6:$H$197, MATCH($B16&amp;"USD bn", Database!$AD$6:$AD$197, 0))), INDEX(Database!$H$6:$H$197, MATCH($B16&amp;"USD bn", Database!$AD$6:$AD$197, 0)), "")</f>
        <v>21.924024518198266</v>
      </c>
      <c r="E16" s="832">
        <f>IF(ISNUMBER(INDEX(Database!$J$6:$J$197, MATCH($B16&amp;"USD bn", Database!$AD$6:$AD$197, 0))), INDEX(Database!$J$6:$J$197, MATCH($B16&amp;"USD bn", Database!$AD$6:$AD$197, 0)), "")</f>
        <v>85.527662540019676</v>
      </c>
      <c r="F16" s="833">
        <f>IF(ISNUMBER(INDEX(Database!$L$6:$L$197, MATCH($B16&amp;"USD bn", Database!$AD$6:$AD$197, 0))), INDEX(Database!$L$6:$L$197, MATCH($B16&amp;"USD bn", Database!$AD$6:$AD$197, 0)), "")</f>
        <v>5.1357683670948562E-2</v>
      </c>
      <c r="G16" s="832"/>
      <c r="H16" s="831">
        <f>IF(ISNUMBER(INDEX(Database!$P$6:$P$197, MATCH($B16&amp;"USD bn", Database!$AD$6:$AD$197, 0))), INDEX(Database!$P$6:$P$197, MATCH($B16&amp;"USD bn", Database!$AD$6:$AD$197, 0)), "")</f>
        <v>184.01914572044612</v>
      </c>
      <c r="I16" s="832">
        <f>IF(ISNUMBER(INDEX(Database!$Q$6:$Q$197, MATCH($B16&amp;"USD bn", Database!$AD$6:$AD$197, 0))), INDEX(Database!$Q$6:$Q$197, MATCH($B16&amp;"USD bn", Database!$AD$6:$AD$197, 0)), "")</f>
        <v>0.72927910812746966</v>
      </c>
      <c r="J16" s="832"/>
      <c r="K16" s="832">
        <f>IF(ISNUMBER(INDEX(Database!$U$6:$U$197, MATCH($B16&amp;"USD bn", Database!$AD$6:$AD$197, 0))), INDEX(Database!$U$6:$U$197, MATCH($B16&amp;"USD bn", Database!$AD$6:$AD$197, 0)), "")</f>
        <v>171.87704801877453</v>
      </c>
      <c r="L16" s="832">
        <f>IF(ISNUMBER(INDEX(Database!$W$6:$W$197, MATCH($B16&amp;"USD bn", Database!$AD$6:$AD$197, 0))), INDEX(Database!$W$6:$W$197, MATCH($B16&amp;"USD bn", Database!$AD$6:$AD$197, 0)), "")</f>
        <v>11.412818593544126</v>
      </c>
      <c r="M16" s="834"/>
      <c r="N16" s="834"/>
      <c r="O16" s="835">
        <f>IF(ISNUMBER(INDEX(Database!$G$6:$G$197, MATCH($B16&amp;"% GDP", Database!$AD$6:$AD$197, 0))), INDEX(Database!$G$6:$G$197, MATCH($B16&amp;"% GDP", Database!$AD$6:$AD$197, 0)), "")</f>
        <v>8.3916545151825215</v>
      </c>
      <c r="P16" s="836">
        <f>IF(ISNUMBER(INDEX(Database!$H$6:$H$197, MATCH($B16&amp;"% GDP", Database!$AD$6:$AD$197, 0))), INDEX(Database!$H$6:$H$197, MATCH($B16&amp;"% GDP", Database!$AD$6:$AD$197, 0)), "")</f>
        <v>1.7122005654451007</v>
      </c>
      <c r="Q16" s="836">
        <f>IF(ISNUMBER(INDEX(Database!$J$6:$J$197, MATCH($B16&amp;"% GDP", Database!$AD$6:$AD$197, 0))), INDEX(Database!$J$6:$J$197, MATCH($B16&amp;"% GDP", Database!$AD$6:$AD$197, 0)), "")</f>
        <v>6.6794539497374199</v>
      </c>
      <c r="R16" s="836">
        <f>IF(ISNUMBER(INDEX(Database!$L$6:$L$197, MATCH($B16&amp;"% GDP", Database!$AD$6:$AD$197, 0))), INDEX(Database!$L$6:$L$197, MATCH($B16&amp;"% GDP", Database!$AD$6:$AD$197, 0)), "")</f>
        <v>4.010881074702214E-3</v>
      </c>
      <c r="S16" s="836"/>
      <c r="T16" s="835">
        <f>IF(ISNUMBER(INDEX(Database!$P$6:$P$197, MATCH($B16&amp;"% GDP", Database!$AD$6:$AD$197, 0))), INDEX(Database!$P$6:$P$197, MATCH($B16&amp;"% GDP", Database!$AD$6:$AD$197, 0)), "")</f>
        <v>14.371343413420227</v>
      </c>
      <c r="U16" s="836">
        <f>IF(ISNUMBER(INDEX(Database!$Q$6:$Q$197, MATCH($B16&amp;"% GDP", Database!$AD$6:$AD$197, 0))), INDEX(Database!$Q$6:$Q$197, MATCH($B16&amp;"% GDP", Database!$AD$6:$AD$197, 0)), "")</f>
        <v>5.6954511260771438E-2</v>
      </c>
      <c r="V16" s="836"/>
      <c r="W16" s="836">
        <f>IF(ISNUMBER(INDEX(Database!$U$6:$U$197, MATCH($B16&amp;"% GDP", Database!$AD$6:$AD$197, 0))), INDEX(Database!$U$6:$U$197, MATCH($B16&amp;"% GDP", Database!$AD$6:$AD$197, 0)), "")</f>
        <v>13.423081996670074</v>
      </c>
      <c r="X16" s="836">
        <f>IF(ISNUMBER(INDEX(Database!$W$6:$W$197, MATCH($B16&amp;"% GDP", Database!$AD$6:$AD$197, 0))), INDEX(Database!$W$6:$W$197, MATCH($B16&amp;"% GDP", Database!$AD$6:$AD$197, 0)), "")</f>
        <v>0.89130690548938096</v>
      </c>
      <c r="AB16" s="562"/>
    </row>
    <row r="17" spans="1:28">
      <c r="A17" s="559"/>
      <c r="B17" s="764" t="s">
        <v>7</v>
      </c>
      <c r="C17" s="831">
        <f>IF(ISNUMBER(INDEX(Database!$G$6:$G$197, MATCH($B17&amp;"USD bn", Database!$AD$6:$AD$197, 0))), INDEX(Database!$G$6:$G$197, MATCH($B17&amp;"USD bn", Database!$AD$6:$AD$197, 0)), "")</f>
        <v>522.16796884260248</v>
      </c>
      <c r="D17" s="832">
        <f>IF(ISNUMBER(INDEX(Database!$H$6:$H$197, MATCH($B17&amp;"USD bn", Database!$AD$6:$AD$197, 0))), INDEX(Database!$H$6:$H$197, MATCH($B17&amp;"USD bn", Database!$AD$6:$AD$197, 0)), "")</f>
        <v>130.8627342062542</v>
      </c>
      <c r="E17" s="832">
        <f>IF(ISNUMBER(INDEX(Database!$J$6:$J$197, MATCH($B17&amp;"USD bn", Database!$AD$6:$AD$197, 0))), INDEX(Database!$J$6:$J$197, MATCH($B17&amp;"USD bn", Database!$AD$6:$AD$197, 0)), "")</f>
        <v>391.30523463634825</v>
      </c>
      <c r="F17" s="833">
        <f>IF(ISNUMBER(INDEX(Database!$L$6:$L$197, MATCH($B17&amp;"USD bn", Database!$AD$6:$AD$197, 0))), INDEX(Database!$L$6:$L$197, MATCH($B17&amp;"USD bn", Database!$AD$6:$AD$197, 0)), "")</f>
        <v>16.03709978017821</v>
      </c>
      <c r="G17" s="832"/>
      <c r="H17" s="831">
        <f>IF(ISNUMBER(INDEX(Database!$P$6:$P$197, MATCH($B17&amp;"USD bn", Database!$AD$6:$AD$197, 0))), INDEX(Database!$P$6:$P$197, MATCH($B17&amp;"USD bn", Database!$AD$6:$AD$197, 0)), "")</f>
        <v>452.92618683170508</v>
      </c>
      <c r="I17" s="832">
        <f>IF(ISNUMBER(INDEX(Database!$Q$6:$Q$197, MATCH($B17&amp;"USD bn", Database!$AD$6:$AD$197, 0))), INDEX(Database!$Q$6:$Q$197, MATCH($B17&amp;"USD bn", Database!$AD$6:$AD$197, 0)), "")</f>
        <v>1.3214570218866846</v>
      </c>
      <c r="J17" s="832"/>
      <c r="K17" s="832">
        <f>IF(ISNUMBER(INDEX(Database!$U$6:$U$197, MATCH($B17&amp;"USD bn", Database!$AD$6:$AD$197, 0))), INDEX(Database!$U$6:$U$197, MATCH($B17&amp;"USD bn", Database!$AD$6:$AD$197, 0)), "")</f>
        <v>451.60472980981842</v>
      </c>
      <c r="L17" s="832" t="str">
        <f>IF(ISNUMBER(INDEX(Database!$W$6:$W$197, MATCH($B17&amp;"USD bn", Database!$AD$6:$AD$197, 0))), INDEX(Database!$W$6:$W$197, MATCH($B17&amp;"USD bn", Database!$AD$6:$AD$197, 0)), "")</f>
        <v/>
      </c>
      <c r="M17" s="834"/>
      <c r="N17" s="834"/>
      <c r="O17" s="835">
        <f>IF(ISNUMBER(INDEX(Database!$G$6:$G$197, MATCH($B17&amp;"% GDP", Database!$AD$6:$AD$197, 0))), INDEX(Database!$G$6:$G$197, MATCH($B17&amp;"% GDP", Database!$AD$6:$AD$197, 0)), "")</f>
        <v>19.27047748644793</v>
      </c>
      <c r="P17" s="836">
        <f>IF(ISNUMBER(INDEX(Database!$H$6:$H$197, MATCH($B17&amp;"% GDP", Database!$AD$6:$AD$197, 0))), INDEX(Database!$H$6:$H$197, MATCH($B17&amp;"% GDP", Database!$AD$6:$AD$197, 0)), "")</f>
        <v>4.8294562742449347</v>
      </c>
      <c r="Q17" s="836">
        <f>IF(ISNUMBER(INDEX(Database!$J$6:$J$197, MATCH($B17&amp;"% GDP", Database!$AD$6:$AD$197, 0))), INDEX(Database!$J$6:$J$197, MATCH($B17&amp;"% GDP", Database!$AD$6:$AD$197, 0)), "")</f>
        <v>14.441021212202996</v>
      </c>
      <c r="R17" s="836">
        <f>IF(ISNUMBER(INDEX(Database!$L$6:$L$197, MATCH($B17&amp;"% GDP", Database!$AD$6:$AD$197, 0))), INDEX(Database!$L$6:$L$197, MATCH($B17&amp;"% GDP", Database!$AD$6:$AD$197, 0)), "")</f>
        <v>0.59184513164766361</v>
      </c>
      <c r="S17" s="836"/>
      <c r="T17" s="835">
        <f>IF(ISNUMBER(INDEX(Database!$P$6:$P$197, MATCH($B17&amp;"% GDP", Database!$AD$6:$AD$197, 0))), INDEX(Database!$P$6:$P$197, MATCH($B17&amp;"% GDP", Database!$AD$6:$AD$197, 0)), "")</f>
        <v>16.715126946045974</v>
      </c>
      <c r="U17" s="836">
        <f>IF(ISNUMBER(INDEX(Database!$Q$6:$Q$197, MATCH($B17&amp;"% GDP", Database!$AD$6:$AD$197, 0))), INDEX(Database!$Q$6:$Q$197, MATCH($B17&amp;"% GDP", Database!$AD$6:$AD$197, 0)), "")</f>
        <v>4.8768038847767488E-2</v>
      </c>
      <c r="V17" s="836"/>
      <c r="W17" s="836">
        <f>IF(ISNUMBER(INDEX(Database!$U$6:$U$197, MATCH($B17&amp;"% GDP", Database!$AD$6:$AD$197, 0))), INDEX(Database!$U$6:$U$197, MATCH($B17&amp;"% GDP", Database!$AD$6:$AD$197, 0)), "")</f>
        <v>16.666358907198209</v>
      </c>
      <c r="X17" s="836" t="str">
        <f>IF(ISNUMBER(INDEX(Database!$W$6:$W$197, MATCH($B17&amp;"% GDP", Database!$AD$6:$AD$197, 0))), INDEX(Database!$W$6:$W$197, MATCH($B17&amp;"% GDP", Database!$AD$6:$AD$197, 0)), "")</f>
        <v/>
      </c>
      <c r="AB17" s="562"/>
    </row>
    <row r="18" spans="1:28">
      <c r="A18" s="559"/>
      <c r="B18" s="764" t="s">
        <v>8</v>
      </c>
      <c r="C18" s="831">
        <f>IF(ISNUMBER(INDEX(Database!$G$6:$G$197, MATCH($B18&amp;"USD bn", Database!$AD$6:$AD$197, 0))), INDEX(Database!$G$6:$G$197, MATCH($B18&amp;"USD bn", Database!$AD$6:$AD$197, 0)), "")</f>
        <v>5328.3</v>
      </c>
      <c r="D18" s="832">
        <f>IF(ISNUMBER(INDEX(Database!$H$6:$H$197, MATCH($B18&amp;"USD bn", Database!$AD$6:$AD$197, 0))), INDEX(Database!$H$6:$H$197, MATCH($B18&amp;"USD bn", Database!$AD$6:$AD$197, 0)), "")</f>
        <v>687.3</v>
      </c>
      <c r="E18" s="832">
        <f>IF(ISNUMBER(INDEX(Database!$J$6:$J$197, MATCH($B18&amp;"USD bn", Database!$AD$6:$AD$197, 0))), INDEX(Database!$J$6:$J$197, MATCH($B18&amp;"USD bn", Database!$AD$6:$AD$197, 0)), "")</f>
        <v>4641</v>
      </c>
      <c r="F18" s="833">
        <f>IF(ISNUMBER(INDEX(Database!$L$6:$L$197, MATCH($B18&amp;"USD bn", Database!$AD$6:$AD$197, 0))), INDEX(Database!$L$6:$L$197, MATCH($B18&amp;"USD bn", Database!$AD$6:$AD$197, 0)), "")</f>
        <v>17.98</v>
      </c>
      <c r="G18" s="832"/>
      <c r="H18" s="831">
        <f>IF(ISNUMBER(INDEX(Database!$P$6:$P$197, MATCH($B18&amp;"USD bn", Database!$AD$6:$AD$197, 0))), INDEX(Database!$P$6:$P$197, MATCH($B18&amp;"USD bn", Database!$AD$6:$AD$197, 0)), "")</f>
        <v>510</v>
      </c>
      <c r="I18" s="832">
        <f>IF(ISNUMBER(INDEX(Database!$Q$6:$Q$197, MATCH($B18&amp;"USD bn", Database!$AD$6:$AD$197, 0))), INDEX(Database!$Q$6:$Q$197, MATCH($B18&amp;"USD bn", Database!$AD$6:$AD$197, 0)), "")</f>
        <v>56</v>
      </c>
      <c r="J18" s="832"/>
      <c r="K18" s="832">
        <f>IF(ISNUMBER(INDEX(Database!$U$6:$U$197, MATCH($B18&amp;"USD bn", Database!$AD$6:$AD$197, 0))), INDEX(Database!$U$6:$U$197, MATCH($B18&amp;"USD bn", Database!$AD$6:$AD$197, 0)), "")</f>
        <v>454</v>
      </c>
      <c r="L18" s="832" t="str">
        <f>IF(ISNUMBER(INDEX(Database!$W$6:$W$197, MATCH($B18&amp;"USD bn", Database!$AD$6:$AD$197, 0))), INDEX(Database!$W$6:$W$197, MATCH($B18&amp;"USD bn", Database!$AD$6:$AD$197, 0)), "")</f>
        <v/>
      </c>
      <c r="M18" s="834"/>
      <c r="N18" s="834"/>
      <c r="O18" s="835">
        <f>IF(ISNUMBER(INDEX(Database!$G$6:$G$197, MATCH($B18&amp;"% GDP", Database!$AD$6:$AD$197, 0))), INDEX(Database!$G$6:$G$197, MATCH($B18&amp;"% GDP", Database!$AD$6:$AD$197, 0)), "")</f>
        <v>25.501884534848941</v>
      </c>
      <c r="P18" s="836">
        <f>IF(ISNUMBER(INDEX(Database!$H$6:$H$197, MATCH($B18&amp;"% GDP", Database!$AD$6:$AD$197, 0))), INDEX(Database!$H$6:$H$197, MATCH($B18&amp;"% GDP", Database!$AD$6:$AD$197, 0)), "")</f>
        <v>3.2895004486987736</v>
      </c>
      <c r="Q18" s="836">
        <f>IF(ISNUMBER(INDEX(Database!$J$6:$J$197, MATCH($B18&amp;"% GDP", Database!$AD$6:$AD$197, 0))), INDEX(Database!$J$6:$J$197, MATCH($B18&amp;"% GDP", Database!$AD$6:$AD$197, 0)), "")</f>
        <v>22.212384086150163</v>
      </c>
      <c r="R18" s="836">
        <f>IF(ISNUMBER(INDEX(Database!$L$6:$L$197, MATCH($B18&amp;"% GDP", Database!$AD$6:$AD$197, 0))), INDEX(Database!$L$6:$L$197, MATCH($B18&amp;"% GDP", Database!$AD$6:$AD$197, 0)), "")</f>
        <v>8.6054442117858218E-2</v>
      </c>
      <c r="S18" s="836"/>
      <c r="T18" s="835">
        <f>IF(ISNUMBER(INDEX(Database!$P$6:$P$197, MATCH($B18&amp;"% GDP", Database!$AD$6:$AD$197, 0))), INDEX(Database!$P$6:$P$197, MATCH($B18&amp;"% GDP", Database!$AD$6:$AD$197, 0)), "")</f>
        <v>2.4409213281483697</v>
      </c>
      <c r="U18" s="836">
        <f>IF(ISNUMBER(INDEX(Database!$Q$6:$Q$197, MATCH($B18&amp;"% GDP", Database!$AD$6:$AD$197, 0))), INDEX(Database!$Q$6:$Q$197, MATCH($B18&amp;"% GDP", Database!$AD$6:$AD$197, 0)), "")</f>
        <v>0.26802273407119354</v>
      </c>
      <c r="V18" s="836"/>
      <c r="W18" s="836">
        <f>IF(ISNUMBER(INDEX(Database!$U$6:$U$197, MATCH($B18&amp;"% GDP", Database!$AD$6:$AD$197, 0))), INDEX(Database!$U$6:$U$197, MATCH($B18&amp;"% GDP", Database!$AD$6:$AD$197, 0)), "")</f>
        <v>2.1728985940771763</v>
      </c>
      <c r="X18" s="836" t="str">
        <f>IF(ISNUMBER(INDEX(Database!$W$6:$W$197, MATCH($B18&amp;"% GDP", Database!$AD$6:$AD$197, 0))), INDEX(Database!$W$6:$W$197, MATCH($B18&amp;"% GDP", Database!$AD$6:$AD$197, 0)), "")</f>
        <v/>
      </c>
      <c r="AB18" s="562"/>
    </row>
    <row r="19" spans="1:28" ht="13.5" customHeight="1">
      <c r="A19" s="559"/>
      <c r="B19" s="829" t="s">
        <v>869</v>
      </c>
      <c r="C19" s="835" t="str">
        <f>IF(ISNUMBER(INDEX(Database!$G$6:$G$197, MATCH($B19&amp;"USD bn", Database!$AD$6:$AD$197, 0))), INDEX(Database!$G$6:$G$197, MATCH($B19&amp;"USD bn", Database!$AD$6:$AD$197, 0)), "")</f>
        <v/>
      </c>
      <c r="D19" s="836" t="str">
        <f>IF(ISNUMBER(INDEX(Database!$H$6:$H$197, MATCH($B19&amp;"USD bn", Database!$AD$6:$AD$197, 0))), INDEX(Database!$H$6:$H$197, MATCH($B19&amp;"USD bn", Database!$AD$6:$AD$197, 0)), "")</f>
        <v/>
      </c>
      <c r="E19" s="836" t="str">
        <f>IF(ISNUMBER(INDEX(Database!$J$6:$J$197, MATCH($B19&amp;"USD bn", Database!$AD$6:$AD$197, 0))), INDEX(Database!$J$6:$J$197, MATCH($B19&amp;"USD bn", Database!$AD$6:$AD$197, 0)), "")</f>
        <v/>
      </c>
      <c r="F19" s="836" t="str">
        <f>IF(ISNUMBER(INDEX(Database!$L$6:$L$197, MATCH($B19&amp;"USD bn", Database!$AD$6:$AD$197, 0))), INDEX(Database!$L$6:$L$197, MATCH($B19&amp;"USD bn", Database!$AD$6:$AD$197, 0)), "")</f>
        <v/>
      </c>
      <c r="G19" s="836"/>
      <c r="H19" s="835" t="str">
        <f>IF(ISNUMBER(INDEX(Database!$P$6:$P$197, MATCH($B19&amp;"USD bn", Database!$AD$6:$AD$197, 0))), INDEX(Database!$P$6:$P$197, MATCH($B19&amp;"USD bn", Database!$AD$6:$AD$197, 0)), "")</f>
        <v/>
      </c>
      <c r="I19" s="837" t="str">
        <f>IF(ISNUMBER(INDEX(Database!$Q$6:$Q$197, MATCH($B19&amp;"USD bn", Database!$AD$6:$AD$197, 0))), INDEX(Database!$Q$6:$Q$197, MATCH($B19&amp;"USD bn", Database!$AD$6:$AD$197, 0)), "")</f>
        <v/>
      </c>
      <c r="J19" s="837"/>
      <c r="K19" s="837" t="str">
        <f>IF(ISNUMBER(INDEX(Database!$U$6:$U$197, MATCH($B19&amp;"USD bn", Database!$AD$6:$AD$197, 0))), INDEX(Database!$U$6:$U$197, MATCH($B19&amp;"USD bn", Database!$AD$6:$AD$197, 0)), "")</f>
        <v/>
      </c>
      <c r="L19" s="837" t="str">
        <f>IF(ISNUMBER(INDEX(Database!$W$6:$W$197, MATCH($B19&amp;"USD bn", Database!$AD$6:$AD$197, 0))), INDEX(Database!$W$6:$W$197, MATCH($B19&amp;"USD bn", Database!$AD$6:$AD$197, 0)), "")</f>
        <v/>
      </c>
      <c r="M19" s="834"/>
      <c r="N19" s="834"/>
      <c r="O19" s="835" t="str">
        <f>IF(ISNUMBER(INDEX(Database!$G$6:$G$197, MATCH($B19&amp;"% GDP", Database!$AD$6:$AD$197, 0))), INDEX(Database!$G$6:$G$197, MATCH($B19&amp;"% GDP", Database!$AD$6:$AD$197, 0)), "")</f>
        <v/>
      </c>
      <c r="P19" s="836" t="str">
        <f>IF(ISNUMBER(INDEX(Database!$H$6:$H$197, MATCH($B19&amp;"% GDP", Database!$AD$6:$AD$197, 0))), INDEX(Database!$H$6:$H$197, MATCH($B19&amp;"% GDP", Database!$AD$6:$AD$197, 0)), "")</f>
        <v/>
      </c>
      <c r="Q19" s="836" t="str">
        <f>IF(ISNUMBER(INDEX(Database!$J$6:$J$197, MATCH($B19&amp;"% GDP", Database!$AD$6:$AD$197, 0))), INDEX(Database!$J$6:$J$197, MATCH($B19&amp;"% GDP", Database!$AD$6:$AD$197, 0)), "")</f>
        <v/>
      </c>
      <c r="R19" s="836" t="str">
        <f>IF(ISNUMBER(INDEX(Database!$L$6:$L$197, MATCH($B19&amp;"% GDP", Database!$AD$6:$AD$197, 0))), INDEX(Database!$L$6:$L$197, MATCH($B19&amp;"% GDP", Database!$AD$6:$AD$197, 0)), "")</f>
        <v/>
      </c>
      <c r="S19" s="836"/>
      <c r="T19" s="835" t="str">
        <f>IF(ISNUMBER(INDEX(Database!$P$6:$P$197, MATCH($B19&amp;"% GDP", Database!$AD$6:$AD$197, 0))), INDEX(Database!$P$6:$P$197, MATCH($B19&amp;"% GDP", Database!$AD$6:$AD$197, 0)), "")</f>
        <v/>
      </c>
      <c r="U19" s="836" t="str">
        <f>IF(ISNUMBER(INDEX(Database!$Q$6:$Q$197, MATCH($B19&amp;"% GDP", Database!$AD$6:$AD$197, 0))), INDEX(Database!$Q$6:$Q$197, MATCH($B19&amp;"% GDP", Database!$AD$6:$AD$197, 0)), "")</f>
        <v/>
      </c>
      <c r="V19" s="836"/>
      <c r="W19" s="836" t="str">
        <f>IF(ISNUMBER(INDEX(Database!$U$6:$U$197, MATCH($B19&amp;"% GDP", Database!$AD$6:$AD$197, 0))), INDEX(Database!$U$6:$U$197, MATCH($B19&amp;"% GDP", Database!$AD$6:$AD$197, 0)), "")</f>
        <v/>
      </c>
      <c r="X19" s="836" t="str">
        <f>IF(ISNUMBER(INDEX(Database!$W$6:$W$197, MATCH($B19&amp;"% GDP", Database!$AD$6:$AD$197, 0))), INDEX(Database!$W$6:$W$197, MATCH($B19&amp;"% GDP", Database!$AD$6:$AD$197, 0)), "")</f>
        <v/>
      </c>
      <c r="AB19" s="561"/>
    </row>
    <row r="20" spans="1:28" ht="13.5" customHeight="1">
      <c r="A20" s="559"/>
      <c r="B20" s="764" t="s">
        <v>9</v>
      </c>
      <c r="C20" s="831">
        <f>IF(ISNUMBER(INDEX(Database!$G$6:$G$197, MATCH($B20&amp;"USD bn", Database!$AD$6:$AD$197, 0))), INDEX(Database!$G$6:$G$197, MATCH($B20&amp;"USD bn", Database!$AD$6:$AD$197, 0)), "")</f>
        <v>20.812695929621835</v>
      </c>
      <c r="D20" s="832">
        <f>IF(ISNUMBER(INDEX(Database!$H$6:$H$197, MATCH($B20&amp;"USD bn", Database!$AD$6:$AD$197, 0))), INDEX(Database!$H$6:$H$197, MATCH($B20&amp;"USD bn", Database!$AD$6:$AD$197, 0)), "")</f>
        <v>4.9352464465452508</v>
      </c>
      <c r="E20" s="832">
        <f>IF(ISNUMBER(INDEX(Database!$J$6:$J$197, MATCH($B20&amp;"USD bn", Database!$AD$6:$AD$197, 0))), INDEX(Database!$J$6:$J$197, MATCH($B20&amp;"USD bn", Database!$AD$6:$AD$197, 0)), "")</f>
        <v>15.877449483076587</v>
      </c>
      <c r="F20" s="833">
        <f>IF(ISNUMBER(INDEX(Database!$L$6:$L$197, MATCH($B20&amp;"USD bn", Database!$AD$6:$AD$197, 0))), INDEX(Database!$L$6:$L$197, MATCH($B20&amp;"USD bn", Database!$AD$6:$AD$197, 0)), "")</f>
        <v>0.14157333466853844</v>
      </c>
      <c r="G20" s="832"/>
      <c r="H20" s="831">
        <f>IF(ISNUMBER(INDEX(Database!$P$6:$P$197, MATCH($B20&amp;"USD bn", Database!$AD$6:$AD$197, 0))), INDEX(Database!$P$6:$P$197, MATCH($B20&amp;"USD bn", Database!$AD$6:$AD$197, 0)), "")</f>
        <v>9.9568526272383089</v>
      </c>
      <c r="I20" s="837">
        <f>IF(ISNUMBER(INDEX(Database!$Q$6:$Q$197, MATCH($B20&amp;"USD bn", Database!$AD$6:$AD$197, 0))), INDEX(Database!$Q$6:$Q$197, MATCH($B20&amp;"USD bn", Database!$AD$6:$AD$197, 0)), "")</f>
        <v>0.99526054271982523</v>
      </c>
      <c r="J20" s="837"/>
      <c r="K20" s="837">
        <f>IF(ISNUMBER(INDEX(Database!$U$6:$U$197, MATCH($B20&amp;"USD bn", Database!$AD$6:$AD$197, 0))), INDEX(Database!$U$6:$U$197, MATCH($B20&amp;"USD bn", Database!$AD$6:$AD$197, 0)), "")</f>
        <v>8.9615920845184842</v>
      </c>
      <c r="L20" s="837" t="str">
        <f>IF(ISNUMBER(INDEX(Database!$W$6:$W$197, MATCH($B20&amp;"USD bn", Database!$AD$6:$AD$197, 0))), INDEX(Database!$W$6:$W$197, MATCH($B20&amp;"USD bn", Database!$AD$6:$AD$197, 0)), "")</f>
        <v/>
      </c>
      <c r="M20" s="834"/>
      <c r="N20" s="834"/>
      <c r="O20" s="835">
        <f>IF(ISNUMBER(INDEX(Database!$G$6:$G$197, MATCH($B20&amp;"% GDP", Database!$AD$6:$AD$197, 0))), INDEX(Database!$G$6:$G$197, MATCH($B20&amp;"% GDP", Database!$AD$6:$AD$197, 0)), "")</f>
        <v>5.3494285646507498</v>
      </c>
      <c r="P20" s="836">
        <f>IF(ISNUMBER(INDEX(Database!$H$6:$H$197, MATCH($B20&amp;"% GDP", Database!$AD$6:$AD$197, 0))), INDEX(Database!$H$6:$H$197, MATCH($B20&amp;"% GDP", Database!$AD$6:$AD$197, 0)), "")</f>
        <v>1.2684924818973211</v>
      </c>
      <c r="Q20" s="836">
        <f>IF(ISNUMBER(INDEX(Database!$J$6:$J$197, MATCH($B20&amp;"% GDP", Database!$AD$6:$AD$197, 0))), INDEX(Database!$J$6:$J$197, MATCH($B20&amp;"% GDP", Database!$AD$6:$AD$197, 0)), "")</f>
        <v>4.0809360827534293</v>
      </c>
      <c r="R20" s="836">
        <f>IF(ISNUMBER(INDEX(Database!$L$6:$L$197, MATCH($B20&amp;"% GDP", Database!$AD$6:$AD$197, 0))), INDEX(Database!$L$6:$L$197, MATCH($B20&amp;"% GDP", Database!$AD$6:$AD$197, 0)), "")</f>
        <v>3.6388195120405073E-2</v>
      </c>
      <c r="S20" s="836"/>
      <c r="T20" s="835">
        <f>IF(ISNUMBER(INDEX(Database!$P$6:$P$197, MATCH($B20&amp;"% GDP", Database!$AD$6:$AD$197, 0))), INDEX(Database!$P$6:$P$197, MATCH($B20&amp;"% GDP", Database!$AD$6:$AD$197, 0)), "")</f>
        <v>2.5591817628180888</v>
      </c>
      <c r="U20" s="836">
        <f>IF(ISNUMBER(INDEX(Database!$Q$6:$Q$197, MATCH($B20&amp;"% GDP", Database!$AD$6:$AD$197, 0))), INDEX(Database!$Q$6:$Q$197, MATCH($B20&amp;"% GDP", Database!$AD$6:$AD$197, 0)), "")</f>
        <v>0.25580901169644765</v>
      </c>
      <c r="V20" s="836"/>
      <c r="W20" s="836">
        <f>IF(ISNUMBER(INDEX(Database!$U$6:$U$197, MATCH($B20&amp;"% GDP", Database!$AD$6:$AD$197, 0))), INDEX(Database!$U$6:$U$197, MATCH($B20&amp;"% GDP", Database!$AD$6:$AD$197, 0)), "")</f>
        <v>2.3033727511216413</v>
      </c>
      <c r="X20" s="836" t="str">
        <f>IF(ISNUMBER(INDEX(Database!$W$6:$W$197, MATCH($B20&amp;"% GDP", Database!$AD$6:$AD$197, 0))), INDEX(Database!$W$6:$W$197, MATCH($B20&amp;"% GDP", Database!$AD$6:$AD$197, 0)), "")</f>
        <v/>
      </c>
      <c r="AB20" s="562"/>
    </row>
    <row r="21" spans="1:28">
      <c r="A21" s="559"/>
      <c r="B21" s="764" t="s">
        <v>10</v>
      </c>
      <c r="C21" s="831">
        <f>IF(ISNUMBER(INDEX(Database!$G$6:$G$197, MATCH($B21&amp;"USD bn", Database!$AD$6:$AD$197, 0))), INDEX(Database!$G$6:$G$197, MATCH($B21&amp;"USD bn", Database!$AD$6:$AD$197, 0)), "")</f>
        <v>133.43721913654085</v>
      </c>
      <c r="D21" s="832">
        <f>IF(ISNUMBER(INDEX(Database!$H$6:$H$197, MATCH($B21&amp;"USD bn", Database!$AD$6:$AD$197, 0))), INDEX(Database!$H$6:$H$197, MATCH($B21&amp;"USD bn", Database!$AD$6:$AD$197, 0)), "")</f>
        <v>21.104767323819807</v>
      </c>
      <c r="E21" s="832">
        <f>IF(ISNUMBER(INDEX(Database!$J$6:$J$197, MATCH($B21&amp;"USD bn", Database!$AD$6:$AD$197, 0))), INDEX(Database!$J$6:$J$197, MATCH($B21&amp;"USD bn", Database!$AD$6:$AD$197, 0)), "")</f>
        <v>112.33245181272106</v>
      </c>
      <c r="F21" s="833">
        <f>IF(ISNUMBER(INDEX(Database!$L$6:$L$197, MATCH($B21&amp;"USD bn", Database!$AD$6:$AD$197, 0))), INDEX(Database!$L$6:$L$197, MATCH($B21&amp;"USD bn", Database!$AD$6:$AD$197, 0)), "")</f>
        <v>44.537266337766802</v>
      </c>
      <c r="G21" s="832"/>
      <c r="H21" s="831">
        <f>IF(ISNUMBER(INDEX(Database!$P$6:$P$197, MATCH($B21&amp;"USD bn", Database!$AD$6:$AD$197, 0))), INDEX(Database!$P$6:$P$197, MATCH($B21&amp;"USD bn", Database!$AD$6:$AD$197, 0)), "")</f>
        <v>88.861157270605275</v>
      </c>
      <c r="I21" s="837">
        <f>IF(ISNUMBER(INDEX(Database!$Q$6:$Q$197, MATCH($B21&amp;"USD bn", Database!$AD$6:$AD$197, 0))), INDEX(Database!$Q$6:$Q$197, MATCH($B21&amp;"USD bn", Database!$AD$6:$AD$197, 0)), "")</f>
        <v>15.498813503430172</v>
      </c>
      <c r="J21" s="837"/>
      <c r="K21" s="837" t="str">
        <f>IF(ISNUMBER(INDEX(Database!$U$6:$U$197, MATCH($B21&amp;"USD bn", Database!$AD$6:$AD$197, 0))), INDEX(Database!$U$6:$U$197, MATCH($B21&amp;"USD bn", Database!$AD$6:$AD$197, 0)), "")</f>
        <v/>
      </c>
      <c r="L21" s="837">
        <f>IF(ISNUMBER(INDEX(Database!$W$6:$W$197, MATCH($B21&amp;"USD bn", Database!$AD$6:$AD$197, 0))), INDEX(Database!$W$6:$W$197, MATCH($B21&amp;"USD bn", Database!$AD$6:$AD$197, 0)), "")</f>
        <v>73.362343767175105</v>
      </c>
      <c r="M21" s="834"/>
      <c r="N21" s="834"/>
      <c r="O21" s="835">
        <f>IF(ISNUMBER(INDEX(Database!$G$6:$G$197, MATCH($B21&amp;"% GDP", Database!$AD$6:$AD$197, 0))), INDEX(Database!$G$6:$G$197, MATCH($B21&amp;"% GDP", Database!$AD$6:$AD$197, 0)), "")</f>
        <v>9.2362126130761357</v>
      </c>
      <c r="P21" s="836">
        <f>IF(ISNUMBER(INDEX(Database!$H$6:$H$197, MATCH($B21&amp;"% GDP", Database!$AD$6:$AD$197, 0))), INDEX(Database!$H$6:$H$197, MATCH($B21&amp;"% GDP", Database!$AD$6:$AD$197, 0)), "")</f>
        <v>1.460822695599191</v>
      </c>
      <c r="Q21" s="836">
        <f>IF(ISNUMBER(INDEX(Database!$J$6:$J$197, MATCH($B21&amp;"% GDP", Database!$AD$6:$AD$197, 0))), INDEX(Database!$J$6:$J$197, MATCH($B21&amp;"% GDP", Database!$AD$6:$AD$197, 0)), "")</f>
        <v>7.7753899174769447</v>
      </c>
      <c r="R21" s="836">
        <f>IF(ISNUMBER(INDEX(Database!$L$6:$L$197, MATCH($B21&amp;"% GDP", Database!$AD$6:$AD$197, 0))), INDEX(Database!$L$6:$L$197, MATCH($B21&amp;"% GDP", Database!$AD$6:$AD$197, 0)), "")</f>
        <v>3.0827655414482935</v>
      </c>
      <c r="S21" s="836"/>
      <c r="T21" s="835">
        <f>IF(ISNUMBER(INDEX(Database!$P$6:$P$197, MATCH($B21&amp;"% GDP", Database!$AD$6:$AD$197, 0))), INDEX(Database!$P$6:$P$197, MATCH($B21&amp;"% GDP", Database!$AD$6:$AD$197, 0)), "")</f>
        <v>6.1507617357903444</v>
      </c>
      <c r="U21" s="836">
        <f>IF(ISNUMBER(INDEX(Database!$Q$6:$Q$197, MATCH($B21&amp;"% GDP", Database!$AD$6:$AD$197, 0))), INDEX(Database!$Q$6:$Q$197, MATCH($B21&amp;"% GDP", Database!$AD$6:$AD$197, 0)), "")</f>
        <v>1.0727916670806561</v>
      </c>
      <c r="V21" s="836"/>
      <c r="W21" s="836" t="str">
        <f>IF(ISNUMBER(INDEX(Database!$U$6:$U$197, MATCH($B21&amp;"% GDP", Database!$AD$6:$AD$197, 0))), INDEX(Database!$U$6:$U$197, MATCH($B21&amp;"% GDP", Database!$AD$6:$AD$197, 0)), "")</f>
        <v/>
      </c>
      <c r="X21" s="836">
        <f>IF(ISNUMBER(INDEX(Database!$W$6:$W$197, MATCH($B21&amp;"% GDP", Database!$AD$6:$AD$197, 0))), INDEX(Database!$W$6:$W$197, MATCH($B21&amp;"% GDP", Database!$AD$6:$AD$197, 0)), "")</f>
        <v>5.0779700687096874</v>
      </c>
      <c r="AB21" s="562"/>
    </row>
    <row r="22" spans="1:28">
      <c r="A22" s="559"/>
      <c r="B22" s="764" t="s">
        <v>11</v>
      </c>
      <c r="C22" s="831">
        <f>IF(ISNUMBER(INDEX(Database!$G$6:$G$197, MATCH($B22&amp;"USD bn", Database!$AD$6:$AD$197, 0))), INDEX(Database!$G$6:$G$197, MATCH($B22&amp;"USD bn", Database!$AD$6:$AD$197, 0)), "")</f>
        <v>710.64739339926814</v>
      </c>
      <c r="D22" s="832">
        <f>IF(ISNUMBER(INDEX(Database!$H$6:$H$197, MATCH($B22&amp;"USD bn", Database!$AD$6:$AD$197, 0))), INDEX(Database!$H$6:$H$197, MATCH($B22&amp;"USD bn", Database!$AD$6:$AD$197, 0)), "")</f>
        <v>21.302032387783935</v>
      </c>
      <c r="E22" s="832">
        <f>IF(ISNUMBER(INDEX(Database!$J$6:$J$197, MATCH($B22&amp;"USD bn", Database!$AD$6:$AD$197, 0))), INDEX(Database!$J$6:$J$197, MATCH($B22&amp;"USD bn", Database!$AD$6:$AD$197, 0)), "")</f>
        <v>689.34536101148421</v>
      </c>
      <c r="F22" s="833">
        <f>IF(ISNUMBER(INDEX(Database!$L$6:$L$197, MATCH($B22&amp;"USD bn", Database!$AD$6:$AD$197, 0))), INDEX(Database!$L$6:$L$197, MATCH($B22&amp;"USD bn", Database!$AD$6:$AD$197, 0)), "")</f>
        <v>231.8588559214578</v>
      </c>
      <c r="G22" s="832"/>
      <c r="H22" s="831">
        <f>IF(ISNUMBER(INDEX(Database!$P$6:$P$197, MATCH($B22&amp;"USD bn", Database!$AD$6:$AD$197, 0))), INDEX(Database!$P$6:$P$197, MATCH($B22&amp;"USD bn", Database!$AD$6:$AD$197, 0)), "")</f>
        <v>192.73267398471179</v>
      </c>
      <c r="I22" s="837" t="str">
        <f>IF(ISNUMBER(INDEX(Database!$Q$6:$Q$197, MATCH($B22&amp;"USD bn", Database!$AD$6:$AD$197, 0))), INDEX(Database!$Q$6:$Q$197, MATCH($B22&amp;"USD bn", Database!$AD$6:$AD$197, 0)), "")</f>
        <v/>
      </c>
      <c r="J22" s="837"/>
      <c r="K22" s="837">
        <f>IF(ISNUMBER(INDEX(Database!$U$6:$U$197, MATCH($B22&amp;"USD bn", Database!$AD$6:$AD$197, 0))), INDEX(Database!$U$6:$U$197, MATCH($B22&amp;"USD bn", Database!$AD$6:$AD$197, 0)), "")</f>
        <v>57.964713980364451</v>
      </c>
      <c r="L22" s="837">
        <f>IF(ISNUMBER(INDEX(Database!$W$6:$W$197, MATCH($B22&amp;"USD bn", Database!$AD$6:$AD$197, 0))), INDEX(Database!$W$6:$W$197, MATCH($B22&amp;"USD bn", Database!$AD$6:$AD$197, 0)), "")</f>
        <v>134.76796000434734</v>
      </c>
      <c r="M22" s="834"/>
      <c r="N22" s="834"/>
      <c r="O22" s="835">
        <f>IF(ISNUMBER(INDEX(Database!$G$6:$G$197, MATCH($B22&amp;"% GDP", Database!$AD$6:$AD$197, 0))), INDEX(Database!$G$6:$G$197, MATCH($B22&amp;"% GDP", Database!$AD$6:$AD$197, 0)), "")</f>
        <v>4.7801156546253365</v>
      </c>
      <c r="P22" s="836">
        <f>IF(ISNUMBER(INDEX(Database!$H$6:$H$197, MATCH($B22&amp;"% GDP", Database!$AD$6:$AD$197, 0))), INDEX(Database!$H$6:$H$197, MATCH($B22&amp;"% GDP", Database!$AD$6:$AD$197, 0)), "")</f>
        <v>0.14328650106646096</v>
      </c>
      <c r="Q22" s="836">
        <f>IF(ISNUMBER(INDEX(Database!$J$6:$J$197, MATCH($B22&amp;"% GDP", Database!$AD$6:$AD$197, 0))), INDEX(Database!$J$6:$J$197, MATCH($B22&amp;"% GDP", Database!$AD$6:$AD$197, 0)), "")</f>
        <v>4.6368291535588764</v>
      </c>
      <c r="R22" s="836">
        <f>IF(ISNUMBER(INDEX(Database!$L$6:$L$197, MATCH($B22&amp;"% GDP", Database!$AD$6:$AD$197, 0))), INDEX(Database!$L$6:$L$197, MATCH($B22&amp;"% GDP", Database!$AD$6:$AD$197, 0)), "")</f>
        <v>1.5595809639886906</v>
      </c>
      <c r="S22" s="836"/>
      <c r="T22" s="835">
        <f>IF(ISNUMBER(INDEX(Database!$P$6:$P$197, MATCH($B22&amp;"% GDP", Database!$AD$6:$AD$197, 0))), INDEX(Database!$P$6:$P$197, MATCH($B22&amp;"% GDP", Database!$AD$6:$AD$197, 0)), "")</f>
        <v>1.296401676315599</v>
      </c>
      <c r="U22" s="836" t="str">
        <f>IF(ISNUMBER(INDEX(Database!$Q$6:$Q$197, MATCH($B22&amp;"% GDP", Database!$AD$6:$AD$197, 0))), INDEX(Database!$Q$6:$Q$197, MATCH($B22&amp;"% GDP", Database!$AD$6:$AD$197, 0)), "")</f>
        <v/>
      </c>
      <c r="V22" s="836"/>
      <c r="W22" s="836">
        <f>IF(ISNUMBER(INDEX(Database!$U$6:$U$197, MATCH($B22&amp;"% GDP", Database!$AD$6:$AD$197, 0))), INDEX(Database!$U$6:$U$197, MATCH($B22&amp;"% GDP", Database!$AD$6:$AD$197, 0)), "")</f>
        <v>0.38989524099717265</v>
      </c>
      <c r="X22" s="836">
        <f>IF(ISNUMBER(INDEX(Database!$W$6:$W$197, MATCH($B22&amp;"% GDP", Database!$AD$6:$AD$197, 0))), INDEX(Database!$W$6:$W$197, MATCH($B22&amp;"% GDP", Database!$AD$6:$AD$197, 0)), "")</f>
        <v>0.90650643531842645</v>
      </c>
      <c r="AB22" s="562"/>
    </row>
    <row r="23" spans="1:28">
      <c r="A23" s="559"/>
      <c r="B23" s="764" t="s">
        <v>12</v>
      </c>
      <c r="C23" s="831">
        <f>IF(ISNUMBER(INDEX(Database!$G$6:$G$197, MATCH($B23&amp;"USD bn", Database!$AD$6:$AD$197, 0))), INDEX(Database!$G$6:$G$197, MATCH($B23&amp;"USD bn", Database!$AD$6:$AD$197, 0)), "")</f>
        <v>108.91796310307309</v>
      </c>
      <c r="D23" s="832">
        <f>IF(ISNUMBER(INDEX(Database!$H$6:$H$197, MATCH($B23&amp;"USD bn", Database!$AD$6:$AD$197, 0))), INDEX(Database!$H$6:$H$197, MATCH($B23&amp;"USD bn", Database!$AD$6:$AD$197, 0)), "")</f>
        <v>14.028015635197093</v>
      </c>
      <c r="E23" s="832">
        <f>IF(ISNUMBER(INDEX(Database!$J$6:$J$197, MATCH($B23&amp;"USD bn", Database!$AD$6:$AD$197, 0))), INDEX(Database!$J$6:$J$197, MATCH($B23&amp;"USD bn", Database!$AD$6:$AD$197, 0)), "")</f>
        <v>94.889947467875984</v>
      </c>
      <c r="F23" s="833">
        <f>IF(ISNUMBER(INDEX(Database!$L$6:$L$197, MATCH($B23&amp;"USD bn", Database!$AD$6:$AD$197, 0))), INDEX(Database!$L$6:$L$197, MATCH($B23&amp;"USD bn", Database!$AD$6:$AD$197, 0)), "")</f>
        <v>18.05320721758315</v>
      </c>
      <c r="G23" s="832"/>
      <c r="H23" s="831">
        <f>IF(ISNUMBER(INDEX(Database!$P$6:$P$197, MATCH($B23&amp;"USD bn", Database!$AD$6:$AD$197, 0))), INDEX(Database!$P$6:$P$197, MATCH($B23&amp;"USD bn", Database!$AD$6:$AD$197, 0)), "")</f>
        <v>165.59102232187649</v>
      </c>
      <c r="I23" s="837">
        <f>IF(ISNUMBER(INDEX(Database!$Q$6:$Q$197, MATCH($B23&amp;"USD bn", Database!$AD$6:$AD$197, 0))), INDEX(Database!$Q$6:$Q$197, MATCH($B23&amp;"USD bn", Database!$AD$6:$AD$197, 0)), "")</f>
        <v>8.6358998705005963</v>
      </c>
      <c r="J23" s="837"/>
      <c r="K23" s="837">
        <f>IF(ISNUMBER(INDEX(Database!$U$6:$U$197, MATCH($B23&amp;"USD bn", Database!$AD$6:$AD$197, 0))), INDEX(Database!$U$6:$U$197, MATCH($B23&amp;"USD bn", Database!$AD$6:$AD$197, 0)), "")</f>
        <v>140.78807121174921</v>
      </c>
      <c r="L23" s="837">
        <f>IF(ISNUMBER(INDEX(Database!$W$6:$W$197, MATCH($B23&amp;"USD bn", Database!$AD$6:$AD$197, 0))), INDEX(Database!$W$6:$W$197, MATCH($B23&amp;"USD bn", Database!$AD$6:$AD$197, 0)), "")</f>
        <v>16.167051239626701</v>
      </c>
      <c r="M23" s="834"/>
      <c r="N23" s="834"/>
      <c r="O23" s="835">
        <f>IF(ISNUMBER(INDEX(Database!$G$6:$G$197, MATCH($B23&amp;"% GDP", Database!$AD$6:$AD$197, 0))), INDEX(Database!$G$6:$G$197, MATCH($B23&amp;"% GDP", Database!$AD$6:$AD$197, 0)), "")</f>
        <v>4.0942849748831005</v>
      </c>
      <c r="P23" s="836">
        <f>IF(ISNUMBER(INDEX(Database!$H$6:$H$197, MATCH($B23&amp;"% GDP", Database!$AD$6:$AD$197, 0))), INDEX(Database!$H$6:$H$197, MATCH($B23&amp;"% GDP", Database!$AD$6:$AD$197, 0)), "")</f>
        <v>0.52732067334256061</v>
      </c>
      <c r="Q23" s="836">
        <f>IF(ISNUMBER(INDEX(Database!$J$6:$J$197, MATCH($B23&amp;"% GDP", Database!$AD$6:$AD$197, 0))), INDEX(Database!$J$6:$J$197, MATCH($B23&amp;"% GDP", Database!$AD$6:$AD$197, 0)), "")</f>
        <v>3.5669643015405401</v>
      </c>
      <c r="R23" s="836">
        <f>IF(ISNUMBER(INDEX(Database!$L$6:$L$197, MATCH($B23&amp;"% GDP", Database!$AD$6:$AD$197, 0))), INDEX(Database!$L$6:$L$197, MATCH($B23&amp;"% GDP", Database!$AD$6:$AD$197, 0)), "")</f>
        <v>0.67862979579826865</v>
      </c>
      <c r="S23" s="836"/>
      <c r="T23" s="835">
        <f>IF(ISNUMBER(INDEX(Database!$P$6:$P$197, MATCH($B23&amp;"% GDP", Database!$AD$6:$AD$197, 0))), INDEX(Database!$P$6:$P$197, MATCH($B23&amp;"% GDP", Database!$AD$6:$AD$197, 0)), "")</f>
        <v>6.2246558359377016</v>
      </c>
      <c r="U23" s="836">
        <f>IF(ISNUMBER(INDEX(Database!$Q$6:$Q$197, MATCH($B23&amp;"% GDP", Database!$AD$6:$AD$197, 0))), INDEX(Database!$Q$6:$Q$197, MATCH($B23&amp;"% GDP", Database!$AD$6:$AD$197, 0)), "")</f>
        <v>0.32462813366170912</v>
      </c>
      <c r="V23" s="836"/>
      <c r="W23" s="836">
        <f>IF(ISNUMBER(INDEX(Database!$U$6:$U$197, MATCH($B23&amp;"% GDP", Database!$AD$6:$AD$197, 0))), INDEX(Database!$U$6:$U$197, MATCH($B23&amp;"% GDP", Database!$AD$6:$AD$197, 0)), "")</f>
        <v>5.2922995269342588</v>
      </c>
      <c r="X23" s="836">
        <f>IF(ISNUMBER(INDEX(Database!$W$6:$W$197, MATCH($B23&amp;"% GDP", Database!$AD$6:$AD$197, 0))), INDEX(Database!$W$6:$W$197, MATCH($B23&amp;"% GDP", Database!$AD$6:$AD$197, 0)), "")</f>
        <v>0.60772817534173318</v>
      </c>
      <c r="AB23" s="562"/>
    </row>
    <row r="24" spans="1:28">
      <c r="A24" s="559"/>
      <c r="B24" s="764" t="s">
        <v>13</v>
      </c>
      <c r="C24" s="831">
        <f>IF(ISNUMBER(INDEX(Database!$G$6:$G$197, MATCH($B24&amp;"USD bn", Database!$AD$6:$AD$197, 0))), INDEX(Database!$G$6:$G$197, MATCH($B24&amp;"USD bn", Database!$AD$6:$AD$197, 0)), "")</f>
        <v>98.860320620644671</v>
      </c>
      <c r="D24" s="832">
        <f>IF(ISNUMBER(INDEX(Database!$H$6:$H$197, MATCH($B24&amp;"USD bn", Database!$AD$6:$AD$197, 0))), INDEX(Database!$H$6:$H$197, MATCH($B24&amp;"USD bn", Database!$AD$6:$AD$197, 0)), "")</f>
        <v>21.588685592667606</v>
      </c>
      <c r="E24" s="832">
        <f>IF(ISNUMBER(INDEX(Database!$J$6:$J$197, MATCH($B24&amp;"USD bn", Database!$AD$6:$AD$197, 0))), INDEX(Database!$J$6:$J$197, MATCH($B24&amp;"USD bn", Database!$AD$6:$AD$197, 0)), "")</f>
        <v>77.271635027977069</v>
      </c>
      <c r="F24" s="833" t="str">
        <f>IF(ISNUMBER(INDEX(Database!$L$6:$L$197, MATCH($B24&amp;"USD bn", Database!$AD$6:$AD$197, 0))), INDEX(Database!$L$6:$L$197, MATCH($B24&amp;"USD bn", Database!$AD$6:$AD$197, 0)), "")</f>
        <v/>
      </c>
      <c r="G24" s="832"/>
      <c r="H24" s="831">
        <f>IF(ISNUMBER(INDEX(Database!$P$6:$P$197, MATCH($B24&amp;"USD bn", Database!$AD$6:$AD$197, 0))), INDEX(Database!$P$6:$P$197, MATCH($B24&amp;"USD bn", Database!$AD$6:$AD$197, 0)), "")</f>
        <v>9.2787751879441149</v>
      </c>
      <c r="I24" s="837">
        <f>IF(ISNUMBER(INDEX(Database!$Q$6:$Q$197, MATCH($B24&amp;"USD bn", Database!$AD$6:$AD$197, 0))), INDEX(Database!$Q$6:$Q$197, MATCH($B24&amp;"USD bn", Database!$AD$6:$AD$197, 0)), "")</f>
        <v>2.4132367580927534</v>
      </c>
      <c r="J24" s="837"/>
      <c r="K24" s="837">
        <f>IF(ISNUMBER(INDEX(Database!$U$6:$U$197, MATCH($B24&amp;"USD bn", Database!$AD$6:$AD$197, 0))), INDEX(Database!$U$6:$U$197, MATCH($B24&amp;"USD bn", Database!$AD$6:$AD$197, 0)), "")</f>
        <v>6.8655384298513615</v>
      </c>
      <c r="L24" s="837" t="str">
        <f>IF(ISNUMBER(INDEX(Database!$W$6:$W$197, MATCH($B24&amp;"USD bn", Database!$AD$6:$AD$197, 0))), INDEX(Database!$W$6:$W$197, MATCH($B24&amp;"USD bn", Database!$AD$6:$AD$197, 0)), "")</f>
        <v/>
      </c>
      <c r="M24" s="834"/>
      <c r="N24" s="834"/>
      <c r="O24" s="835">
        <f>IF(ISNUMBER(INDEX(Database!$G$6:$G$197, MATCH($B24&amp;"% GDP", Database!$AD$6:$AD$197, 0))), INDEX(Database!$G$6:$G$197, MATCH($B24&amp;"% GDP", Database!$AD$6:$AD$197, 0)), "")</f>
        <v>9.3296348167315557</v>
      </c>
      <c r="P24" s="836">
        <f>IF(ISNUMBER(INDEX(Database!$H$6:$H$197, MATCH($B24&amp;"% GDP", Database!$AD$6:$AD$197, 0))), INDEX(Database!$H$6:$H$197, MATCH($B24&amp;"% GDP", Database!$AD$6:$AD$197, 0)), "")</f>
        <v>2.037364955811825</v>
      </c>
      <c r="Q24" s="836">
        <f>IF(ISNUMBER(INDEX(Database!$J$6:$J$197, MATCH($B24&amp;"% GDP", Database!$AD$6:$AD$197, 0))), INDEX(Database!$J$6:$J$197, MATCH($B24&amp;"% GDP", Database!$AD$6:$AD$197, 0)), "")</f>
        <v>7.2922698609197294</v>
      </c>
      <c r="R24" s="836" t="str">
        <f>IF(ISNUMBER(INDEX(Database!$L$6:$L$197, MATCH($B24&amp;"% GDP", Database!$AD$6:$AD$197, 0))), INDEX(Database!$L$6:$L$197, MATCH($B24&amp;"% GDP", Database!$AD$6:$AD$197, 0)), "")</f>
        <v/>
      </c>
      <c r="S24" s="836"/>
      <c r="T24" s="835">
        <f>IF(ISNUMBER(INDEX(Database!$P$6:$P$197, MATCH($B24&amp;"% GDP", Database!$AD$6:$AD$197, 0))), INDEX(Database!$P$6:$P$197, MATCH($B24&amp;"% GDP", Database!$AD$6:$AD$197, 0)), "")</f>
        <v>0.87565550573371964</v>
      </c>
      <c r="U24" s="836">
        <f>IF(ISNUMBER(INDEX(Database!$Q$6:$Q$197, MATCH($B24&amp;"% GDP", Database!$AD$6:$AD$197, 0))), INDEX(Database!$Q$6:$Q$197, MATCH($B24&amp;"% GDP", Database!$AD$6:$AD$197, 0)), "")</f>
        <v>0.22774170200917679</v>
      </c>
      <c r="V24" s="836"/>
      <c r="W24" s="836">
        <f>IF(ISNUMBER(INDEX(Database!$U$6:$U$197, MATCH($B24&amp;"% GDP", Database!$AD$6:$AD$197, 0))), INDEX(Database!$U$6:$U$197, MATCH($B24&amp;"% GDP", Database!$AD$6:$AD$197, 0)), "")</f>
        <v>0.64791380372454288</v>
      </c>
      <c r="X24" s="836" t="str">
        <f>IF(ISNUMBER(INDEX(Database!$W$6:$W$197, MATCH($B24&amp;"% GDP", Database!$AD$6:$AD$197, 0))), INDEX(Database!$W$6:$W$197, MATCH($B24&amp;"% GDP", Database!$AD$6:$AD$197, 0)), "")</f>
        <v/>
      </c>
      <c r="AB24" s="562"/>
    </row>
    <row r="25" spans="1:28">
      <c r="B25" s="764" t="s">
        <v>14</v>
      </c>
      <c r="C25" s="831">
        <f>IF(ISNUMBER(INDEX(Database!$G$6:$G$197, MATCH($B25&amp;"USD bn", Database!$AD$6:$AD$197, 0))), INDEX(Database!$G$6:$G$197, MATCH($B25&amp;"USD bn", Database!$AD$6:$AD$197, 0)), "")</f>
        <v>7.0279601888550927</v>
      </c>
      <c r="D25" s="832">
        <f>IF(ISNUMBER(INDEX(Database!$H$6:$H$197, MATCH($B25&amp;"USD bn", Database!$AD$6:$AD$197, 0))), INDEX(Database!$H$6:$H$197, MATCH($B25&amp;"USD bn", Database!$AD$6:$AD$197, 0)), "")</f>
        <v>4.8032151754294405</v>
      </c>
      <c r="E25" s="832">
        <f>IF(ISNUMBER(INDEX(Database!$J$6:$J$197, MATCH($B25&amp;"USD bn", Database!$AD$6:$AD$197, 0))), INDEX(Database!$J$6:$J$197, MATCH($B25&amp;"USD bn", Database!$AD$6:$AD$197, 0)), "")</f>
        <v>2.2247450134256517</v>
      </c>
      <c r="F25" s="833">
        <f>IF(ISNUMBER(INDEX(Database!$L$6:$L$197, MATCH($B25&amp;"USD bn", Database!$AD$6:$AD$197, 0))), INDEX(Database!$L$6:$L$197, MATCH($B25&amp;"USD bn", Database!$AD$6:$AD$197, 0)), "")</f>
        <v>4.2819360091037648</v>
      </c>
      <c r="G25" s="832"/>
      <c r="H25" s="831">
        <f>IF(ISNUMBER(INDEX(Database!$P$6:$P$197, MATCH($B25&amp;"USD bn", Database!$AD$6:$AD$197, 0))), INDEX(Database!$P$6:$P$197, MATCH($B25&amp;"USD bn", Database!$AD$6:$AD$197, 0)), "")</f>
        <v>13.41362997634462</v>
      </c>
      <c r="I25" s="837">
        <f>IF(ISNUMBER(INDEX(Database!$Q$6:$Q$197, MATCH($B25&amp;"USD bn", Database!$AD$6:$AD$197, 0))), INDEX(Database!$Q$6:$Q$197, MATCH($B25&amp;"USD bn", Database!$AD$6:$AD$197, 0)), "")</f>
        <v>0.89362142798687272</v>
      </c>
      <c r="J25" s="837"/>
      <c r="K25" s="837">
        <f>IF(ISNUMBER(INDEX(Database!$U$6:$U$197, MATCH($B25&amp;"USD bn", Database!$AD$6:$AD$197, 0))), INDEX(Database!$U$6:$U$197, MATCH($B25&amp;"USD bn", Database!$AD$6:$AD$197, 0)), "")</f>
        <v>0.27925669624589772</v>
      </c>
      <c r="L25" s="837">
        <f>IF(ISNUMBER(INDEX(Database!$W$6:$W$197, MATCH($B25&amp;"USD bn", Database!$AD$6:$AD$197, 0))), INDEX(Database!$W$6:$W$197, MATCH($B25&amp;"USD bn", Database!$AD$6:$AD$197, 0)), "")</f>
        <v>12.240751852111851</v>
      </c>
      <c r="M25" s="834"/>
      <c r="N25" s="834"/>
      <c r="O25" s="835">
        <f>IF(ISNUMBER(INDEX(Database!$G$6:$G$197, MATCH($B25&amp;"% GDP", Database!$AD$6:$AD$197, 0))), INDEX(Database!$G$6:$G$197, MATCH($B25&amp;"% GDP", Database!$AD$6:$AD$197, 0)), "")</f>
        <v>0.65442396745349374</v>
      </c>
      <c r="P25" s="836">
        <f>IF(ISNUMBER(INDEX(Database!$H$6:$H$197, MATCH($B25&amp;"% GDP", Database!$AD$6:$AD$197, 0))), INDEX(Database!$H$6:$H$197, MATCH($B25&amp;"% GDP", Database!$AD$6:$AD$197, 0)), "")</f>
        <v>0.44726194331920904</v>
      </c>
      <c r="Q25" s="836">
        <f>IF(ISNUMBER(INDEX(Database!$J$6:$J$197, MATCH($B25&amp;"% GDP", Database!$AD$6:$AD$197, 0))), INDEX(Database!$J$6:$J$197, MATCH($B25&amp;"% GDP", Database!$AD$6:$AD$197, 0)), "")</f>
        <v>0.20716202413428478</v>
      </c>
      <c r="R25" s="836">
        <f>IF(ISNUMBER(INDEX(Database!$L$6:$L$197, MATCH($B25&amp;"% GDP", Database!$AD$6:$AD$197, 0))), INDEX(Database!$L$6:$L$197, MATCH($B25&amp;"% GDP", Database!$AD$6:$AD$197, 0)), "")</f>
        <v>0.39872188745510878</v>
      </c>
      <c r="S25" s="836"/>
      <c r="T25" s="835">
        <f>IF(ISNUMBER(INDEX(Database!$P$6:$P$197, MATCH($B25&amp;"% GDP", Database!$AD$6:$AD$197, 0))), INDEX(Database!$P$6:$P$197, MATCH($B25&amp;"% GDP", Database!$AD$6:$AD$197, 0)), "")</f>
        <v>1.2490396517887212</v>
      </c>
      <c r="U25" s="836">
        <f>IF(ISNUMBER(INDEX(Database!$Q$6:$Q$197, MATCH($B25&amp;"% GDP", Database!$AD$6:$AD$197, 0))), INDEX(Database!$Q$6:$Q$197, MATCH($B25&amp;"% GDP", Database!$AD$6:$AD$197, 0)), "")</f>
        <v>8.3211524338457493E-2</v>
      </c>
      <c r="V25" s="836"/>
      <c r="W25" s="836">
        <f>IF(ISNUMBER(INDEX(Database!$U$6:$U$197, MATCH($B25&amp;"% GDP", Database!$AD$6:$AD$197, 0))), INDEX(Database!$U$6:$U$197, MATCH($B25&amp;"% GDP", Database!$AD$6:$AD$197, 0)), "")</f>
        <v>2.6003601355767965E-2</v>
      </c>
      <c r="X25" s="836">
        <f>IF(ISNUMBER(INDEX(Database!$W$6:$W$197, MATCH($B25&amp;"% GDP", Database!$AD$6:$AD$197, 0))), INDEX(Database!$W$6:$W$197, MATCH($B25&amp;"% GDP", Database!$AD$6:$AD$197, 0)), "")</f>
        <v>1.1398245260944957</v>
      </c>
      <c r="AB25" s="562"/>
    </row>
    <row r="26" spans="1:28">
      <c r="B26" s="764" t="s">
        <v>15</v>
      </c>
      <c r="C26" s="831">
        <f>IF(ISNUMBER(INDEX(Database!$G$6:$G$197, MATCH($B26&amp;"USD bn", Database!$AD$6:$AD$197, 0))), INDEX(Database!$G$6:$G$197, MATCH($B26&amp;"USD bn", Database!$AD$6:$AD$197, 0)), "")</f>
        <v>74.006320564062733</v>
      </c>
      <c r="D26" s="832">
        <f>IF(ISNUMBER(INDEX(Database!$H$6:$H$197, MATCH($B26&amp;"USD bn", Database!$AD$6:$AD$197, 0))), INDEX(Database!$H$6:$H$197, MATCH($B26&amp;"USD bn", Database!$AD$6:$AD$197, 0)), "")</f>
        <v>10.712532393938853</v>
      </c>
      <c r="E26" s="832">
        <f>IF(ISNUMBER(INDEX(Database!$J$6:$J$197, MATCH($B26&amp;"USD bn", Database!$AD$6:$AD$197, 0))), INDEX(Database!$J$6:$J$197, MATCH($B26&amp;"USD bn", Database!$AD$6:$AD$197, 0)), "")</f>
        <v>63.293788170123882</v>
      </c>
      <c r="F26" s="833">
        <f>IF(ISNUMBER(INDEX(Database!$L$6:$L$197, MATCH($B26&amp;"USD bn", Database!$AD$6:$AD$197, 0))), INDEX(Database!$L$6:$L$197, MATCH($B26&amp;"USD bn", Database!$AD$6:$AD$197, 0)), "")</f>
        <v>6.3584063241443518</v>
      </c>
      <c r="G26" s="832"/>
      <c r="H26" s="831">
        <f>IF(ISNUMBER(INDEX(Database!$P$6:$P$197, MATCH($B26&amp;"USD bn", Database!$AD$6:$AD$197, 0))), INDEX(Database!$P$6:$P$197, MATCH($B26&amp;"USD bn", Database!$AD$6:$AD$197, 0)), "")</f>
        <v>21.660049369422172</v>
      </c>
      <c r="I26" s="837">
        <f>IF(ISNUMBER(INDEX(Database!$Q$6:$Q$197, MATCH($B26&amp;"USD bn", Database!$AD$6:$AD$197, 0))), INDEX(Database!$Q$6:$Q$197, MATCH($B26&amp;"USD bn", Database!$AD$6:$AD$197, 0)), "")</f>
        <v>7.837426925630103</v>
      </c>
      <c r="J26" s="837"/>
      <c r="K26" s="837">
        <f>IF(ISNUMBER(INDEX(Database!$U$6:$U$197, MATCH($B26&amp;"USD bn", Database!$AD$6:$AD$197, 0))), INDEX(Database!$U$6:$U$197, MATCH($B26&amp;"USD bn", Database!$AD$6:$AD$197, 0)), "")</f>
        <v>6.9113112218960344</v>
      </c>
      <c r="L26" s="837">
        <f>IF(ISNUMBER(INDEX(Database!$W$6:$W$197, MATCH($B26&amp;"USD bn", Database!$AD$6:$AD$197, 0))), INDEX(Database!$W$6:$W$197, MATCH($B26&amp;"USD bn", Database!$AD$6:$AD$197, 0)), "")</f>
        <v>6.9113112218960344</v>
      </c>
      <c r="M26" s="834"/>
      <c r="N26" s="834"/>
      <c r="O26" s="835">
        <f>IF(ISNUMBER(INDEX(Database!$G$6:$G$197, MATCH($B26&amp;"% GDP", Database!$AD$6:$AD$197, 0))), INDEX(Database!$G$6:$G$197, MATCH($B26&amp;"% GDP", Database!$AD$6:$AD$197, 0)), "")</f>
        <v>5.0052604782800296</v>
      </c>
      <c r="P26" s="836">
        <f>IF(ISNUMBER(INDEX(Database!$H$6:$H$197, MATCH($B26&amp;"% GDP", Database!$AD$6:$AD$197, 0))), INDEX(Database!$H$6:$H$197, MATCH($B26&amp;"% GDP", Database!$AD$6:$AD$197, 0)), "")</f>
        <v>0.72451940057284703</v>
      </c>
      <c r="Q26" s="836">
        <f>IF(ISNUMBER(INDEX(Database!$J$6:$J$197, MATCH($B26&amp;"% GDP", Database!$AD$6:$AD$197, 0))), INDEX(Database!$J$6:$J$197, MATCH($B26&amp;"% GDP", Database!$AD$6:$AD$197, 0)), "")</f>
        <v>4.2807410777071828</v>
      </c>
      <c r="R26" s="836">
        <f>IF(ISNUMBER(INDEX(Database!$L$6:$L$197, MATCH($B26&amp;"% GDP", Database!$AD$6:$AD$197, 0))), INDEX(Database!$L$6:$L$197, MATCH($B26&amp;"% GDP", Database!$AD$6:$AD$197, 0)), "")</f>
        <v>0.43003732163033498</v>
      </c>
      <c r="S26" s="836"/>
      <c r="T26" s="835">
        <f>IF(ISNUMBER(INDEX(Database!$P$6:$P$197, MATCH($B26&amp;"% GDP", Database!$AD$6:$AD$197, 0))), INDEX(Database!$P$6:$P$197, MATCH($B26&amp;"% GDP", Database!$AD$6:$AD$197, 0)), "")</f>
        <v>1.464931484771163</v>
      </c>
      <c r="U26" s="836">
        <f>IF(ISNUMBER(INDEX(Database!$Q$6:$Q$197, MATCH($B26&amp;"% GDP", Database!$AD$6:$AD$197, 0))), INDEX(Database!$Q$6:$Q$197, MATCH($B26&amp;"% GDP", Database!$AD$6:$AD$197, 0)), "")</f>
        <v>0.53006774209652163</v>
      </c>
      <c r="V26" s="836"/>
      <c r="W26" s="836">
        <f>IF(ISNUMBER(INDEX(Database!$U$6:$U$197, MATCH($B26&amp;"% GDP", Database!$AD$6:$AD$197, 0))), INDEX(Database!$U$6:$U$197, MATCH($B26&amp;"% GDP", Database!$AD$6:$AD$197, 0)), "")</f>
        <v>0.46743187133732073</v>
      </c>
      <c r="X26" s="836">
        <f>IF(ISNUMBER(INDEX(Database!$W$6:$W$197, MATCH($B26&amp;"% GDP", Database!$AD$6:$AD$197, 0))), INDEX(Database!$W$6:$W$197, MATCH($B26&amp;"% GDP", Database!$AD$6:$AD$197, 0)), "")</f>
        <v>0.46743187133732073</v>
      </c>
      <c r="AB26" s="562"/>
    </row>
    <row r="27" spans="1:28">
      <c r="B27" s="764" t="s">
        <v>16</v>
      </c>
      <c r="C27" s="831">
        <f>IF(ISNUMBER(INDEX(Database!$G$6:$G$197, MATCH($B27&amp;"USD bn", Database!$AD$6:$AD$197, 0))), INDEX(Database!$G$6:$G$197, MATCH($B27&amp;"USD bn", Database!$AD$6:$AD$197, 0)), "")</f>
        <v>18.026666666666664</v>
      </c>
      <c r="D27" s="832">
        <f>IF(ISNUMBER(INDEX(Database!$H$6:$H$197, MATCH($B27&amp;"USD bn", Database!$AD$6:$AD$197, 0))), INDEX(Database!$H$6:$H$197, MATCH($B27&amp;"USD bn", Database!$AD$6:$AD$197, 0)), "")</f>
        <v>14.4</v>
      </c>
      <c r="E27" s="832">
        <f>IF(ISNUMBER(INDEX(Database!$J$6:$J$197, MATCH($B27&amp;"USD bn", Database!$AD$6:$AD$197, 0))), INDEX(Database!$J$6:$J$197, MATCH($B27&amp;"USD bn", Database!$AD$6:$AD$197, 0)), "")</f>
        <v>3.6266666666666665</v>
      </c>
      <c r="F27" s="833">
        <f>IF(ISNUMBER(INDEX(Database!$L$6:$L$197, MATCH($B27&amp;"USD bn", Database!$AD$6:$AD$197, 0))), INDEX(Database!$L$6:$L$197, MATCH($B27&amp;"USD bn", Database!$AD$6:$AD$197, 0)), "")</f>
        <v>11.333333333333334</v>
      </c>
      <c r="G27" s="832"/>
      <c r="H27" s="831">
        <f>IF(ISNUMBER(INDEX(Database!$P$6:$P$197, MATCH($B27&amp;"USD bn", Database!$AD$6:$AD$197, 0))), INDEX(Database!$P$6:$P$197, MATCH($B27&amp;"USD bn", Database!$AD$6:$AD$197, 0)), "")</f>
        <v>6.8533333333333335</v>
      </c>
      <c r="I27" s="837">
        <f>IF(ISNUMBER(INDEX(Database!$Q$6:$Q$197, MATCH($B27&amp;"USD bn", Database!$AD$6:$AD$197, 0))), INDEX(Database!$Q$6:$Q$197, MATCH($B27&amp;"USD bn", Database!$AD$6:$AD$197, 0)), "")</f>
        <v>6.8533333333333335</v>
      </c>
      <c r="J27" s="837"/>
      <c r="K27" s="837" t="str">
        <f>IF(ISNUMBER(INDEX(Database!$U$6:$U$197, MATCH($B27&amp;"USD bn", Database!$AD$6:$AD$197, 0))), INDEX(Database!$U$6:$U$197, MATCH($B27&amp;"USD bn", Database!$AD$6:$AD$197, 0)), "")</f>
        <v/>
      </c>
      <c r="L27" s="837" t="str">
        <f>IF(ISNUMBER(INDEX(Database!$W$6:$W$197, MATCH($B27&amp;"USD bn", Database!$AD$6:$AD$197, 0))), INDEX(Database!$W$6:$W$197, MATCH($B27&amp;"USD bn", Database!$AD$6:$AD$197, 0)), "")</f>
        <v/>
      </c>
      <c r="M27" s="834"/>
      <c r="N27" s="834"/>
      <c r="O27" s="835">
        <f>IF(ISNUMBER(INDEX(Database!$G$6:$G$197, MATCH($B27&amp;"% GDP", Database!$AD$6:$AD$197, 0))), INDEX(Database!$G$6:$G$197, MATCH($B27&amp;"% GDP", Database!$AD$6:$AD$197, 0)), "")</f>
        <v>2.5748045471962433</v>
      </c>
      <c r="P27" s="836">
        <f>IF(ISNUMBER(INDEX(Database!$H$6:$H$197, MATCH($B27&amp;"% GDP", Database!$AD$6:$AD$197, 0))), INDEX(Database!$H$6:$H$197, MATCH($B27&amp;"% GDP", Database!$AD$6:$AD$197, 0)), "")</f>
        <v>2.0567965317839816</v>
      </c>
      <c r="Q27" s="836">
        <f>IF(ISNUMBER(INDEX(Database!$J$6:$J$197, MATCH($B27&amp;"% GDP", Database!$AD$6:$AD$197, 0))), INDEX(Database!$J$6:$J$197, MATCH($B27&amp;"% GDP", Database!$AD$6:$AD$197, 0)), "")</f>
        <v>0.51800801541226205</v>
      </c>
      <c r="R27" s="836">
        <f>IF(ISNUMBER(INDEX(Database!$L$6:$L$197, MATCH($B27&amp;"% GDP", Database!$AD$6:$AD$197, 0))), INDEX(Database!$L$6:$L$197, MATCH($B27&amp;"% GDP", Database!$AD$6:$AD$197, 0)), "")</f>
        <v>1.6187750329433777</v>
      </c>
      <c r="S27" s="836"/>
      <c r="T27" s="835">
        <f>IF(ISNUMBER(INDEX(Database!$P$6:$P$197, MATCH($B27&amp;"% GDP", Database!$AD$6:$AD$197, 0))), INDEX(Database!$P$6:$P$197, MATCH($B27&amp;"% GDP", Database!$AD$6:$AD$197, 0)), "")</f>
        <v>0.97888278462693656</v>
      </c>
      <c r="U27" s="836">
        <f>IF(ISNUMBER(INDEX(Database!$Q$6:$Q$197, MATCH($B27&amp;"% GDP", Database!$AD$6:$AD$197, 0))), INDEX(Database!$Q$6:$Q$197, MATCH($B27&amp;"% GDP", Database!$AD$6:$AD$197, 0)), "")</f>
        <v>0.97888278462693656</v>
      </c>
      <c r="V27" s="836"/>
      <c r="W27" s="836" t="str">
        <f>IF(ISNUMBER(INDEX(Database!$U$6:$U$197, MATCH($B27&amp;"% GDP", Database!$AD$6:$AD$197, 0))), INDEX(Database!$U$6:$U$197, MATCH($B27&amp;"% GDP", Database!$AD$6:$AD$197, 0)), "")</f>
        <v/>
      </c>
      <c r="X27" s="836" t="str">
        <f>IF(ISNUMBER(INDEX(Database!$W$6:$W$197, MATCH($B27&amp;"% GDP", Database!$AD$6:$AD$197, 0))), INDEX(Database!$W$6:$W$197, MATCH($B27&amp;"% GDP", Database!$AD$6:$AD$197, 0)), "")</f>
        <v/>
      </c>
      <c r="AB27" s="562"/>
    </row>
    <row r="28" spans="1:28">
      <c r="B28" s="764" t="s">
        <v>17</v>
      </c>
      <c r="C28" s="831">
        <f>IF(ISNUMBER(INDEX(Database!$G$6:$G$197, MATCH($B28&amp;"USD bn", Database!$AD$6:$AD$197, 0))), INDEX(Database!$G$6:$G$197, MATCH($B28&amp;"USD bn", Database!$AD$6:$AD$197, 0)), "")</f>
        <v>17.693238243228844</v>
      </c>
      <c r="D28" s="832">
        <f>IF(ISNUMBER(INDEX(Database!$H$6:$H$197, MATCH($B28&amp;"USD bn", Database!$AD$6:$AD$197, 0))), INDEX(Database!$H$6:$H$197, MATCH($B28&amp;"USD bn", Database!$AD$6:$AD$197, 0)), "")</f>
        <v>2.3262994325975441</v>
      </c>
      <c r="E28" s="832">
        <f>IF(ISNUMBER(INDEX(Database!$J$6:$J$197, MATCH($B28&amp;"USD bn", Database!$AD$6:$AD$197, 0))), INDEX(Database!$J$6:$J$197, MATCH($B28&amp;"USD bn", Database!$AD$6:$AD$197, 0)), "")</f>
        <v>15.366938810631298</v>
      </c>
      <c r="F28" s="833">
        <f>IF(ISNUMBER(INDEX(Database!$L$6:$L$197, MATCH($B28&amp;"USD bn", Database!$AD$6:$AD$197, 0))), INDEX(Database!$L$6:$L$197, MATCH($B28&amp;"USD bn", Database!$AD$6:$AD$197, 0)), "")</f>
        <v>2.6725110975010953</v>
      </c>
      <c r="G28" s="832"/>
      <c r="H28" s="831">
        <f>IF(ISNUMBER(INDEX(Database!$P$6:$P$197, MATCH($B28&amp;"USD bn", Database!$AD$6:$AD$197, 0))), INDEX(Database!$P$6:$P$197, MATCH($B28&amp;"USD bn", Database!$AD$6:$AD$197, 0)), "")</f>
        <v>12.32999438165278</v>
      </c>
      <c r="I28" s="837" t="str">
        <f>IF(ISNUMBER(INDEX(Database!$Q$6:$Q$197, MATCH($B28&amp;"USD bn", Database!$AD$6:$AD$197, 0))), INDEX(Database!$Q$6:$Q$197, MATCH($B28&amp;"USD bn", Database!$AD$6:$AD$197, 0)), "")</f>
        <v/>
      </c>
      <c r="J28" s="837"/>
      <c r="K28" s="837">
        <f>IF(ISNUMBER(INDEX(Database!$U$6:$U$197, MATCH($B28&amp;"USD bn", Database!$AD$6:$AD$197, 0))), INDEX(Database!$U$6:$U$197, MATCH($B28&amp;"USD bn", Database!$AD$6:$AD$197, 0)), "")</f>
        <v>12.147777715914069</v>
      </c>
      <c r="L28" s="837">
        <f>IF(ISNUMBER(INDEX(Database!$W$6:$W$197, MATCH($B28&amp;"USD bn", Database!$AD$6:$AD$197, 0))), INDEX(Database!$W$6:$W$197, MATCH($B28&amp;"USD bn", Database!$AD$6:$AD$197, 0)), "")</f>
        <v>0.18221666573871104</v>
      </c>
      <c r="M28" s="834"/>
      <c r="N28" s="834"/>
      <c r="O28" s="835">
        <f>IF(ISNUMBER(INDEX(Database!$G$6:$G$197, MATCH($B28&amp;"% GDP", Database!$AD$6:$AD$197, 0))), INDEX(Database!$G$6:$G$197, MATCH($B28&amp;"% GDP", Database!$AD$6:$AD$197, 0)), "")</f>
        <v>5.2761463161134641</v>
      </c>
      <c r="P28" s="836">
        <f>IF(ISNUMBER(INDEX(Database!$H$6:$H$197, MATCH($B28&amp;"% GDP", Database!$AD$6:$AD$197, 0))), INDEX(Database!$H$6:$H$197, MATCH($B28&amp;"% GDP", Database!$AD$6:$AD$197, 0)), "")</f>
        <v>0.69370547170321195</v>
      </c>
      <c r="Q28" s="836">
        <f>IF(ISNUMBER(INDEX(Database!$J$6:$J$197, MATCH($B28&amp;"% GDP", Database!$AD$6:$AD$197, 0))), INDEX(Database!$J$6:$J$197, MATCH($B28&amp;"% GDP", Database!$AD$6:$AD$197, 0)), "")</f>
        <v>4.582440844410252</v>
      </c>
      <c r="R28" s="836">
        <f>IF(ISNUMBER(INDEX(Database!$L$6:$L$197, MATCH($B28&amp;"% GDP", Database!$AD$6:$AD$197, 0))), INDEX(Database!$L$6:$L$197, MATCH($B28&amp;"% GDP", Database!$AD$6:$AD$197, 0)), "")</f>
        <v>0.88478224805071415</v>
      </c>
      <c r="S28" s="836"/>
      <c r="T28" s="835">
        <f>IF(ISNUMBER(INDEX(Database!$P$6:$P$197, MATCH($B28&amp;"% GDP", Database!$AD$6:$AD$197, 0))), INDEX(Database!$P$6:$P$197, MATCH($B28&amp;"% GDP", Database!$AD$6:$AD$197, 0)), "")</f>
        <v>4.0820635535067034</v>
      </c>
      <c r="U28" s="836" t="str">
        <f>IF(ISNUMBER(INDEX(Database!$Q$6:$Q$197, MATCH($B28&amp;"% GDP", Database!$AD$6:$AD$197, 0))), INDEX(Database!$Q$6:$Q$197, MATCH($B28&amp;"% GDP", Database!$AD$6:$AD$197, 0)), "")</f>
        <v/>
      </c>
      <c r="V28" s="836"/>
      <c r="W28" s="836">
        <f>IF(ISNUMBER(INDEX(Database!$U$6:$U$197, MATCH($B28&amp;"% GDP", Database!$AD$6:$AD$197, 0))), INDEX(Database!$U$6:$U$197, MATCH($B28&amp;"% GDP", Database!$AD$6:$AD$197, 0)), "")</f>
        <v>4.0217374911396089</v>
      </c>
      <c r="X28" s="836">
        <f>IF(ISNUMBER(INDEX(Database!$W$6:$W$197, MATCH($B28&amp;"% GDP", Database!$AD$6:$AD$197, 0))), INDEX(Database!$W$6:$W$197, MATCH($B28&amp;"% GDP", Database!$AD$6:$AD$197, 0)), "")</f>
        <v>6.032606236709414E-2</v>
      </c>
      <c r="AB28" s="562"/>
    </row>
    <row r="29" spans="1:28">
      <c r="B29" s="764" t="s">
        <v>18</v>
      </c>
      <c r="C29" s="831">
        <f>IF(ISNUMBER(INDEX(Database!$G$6:$G$197, MATCH($B29&amp;"USD bn", Database!$AD$6:$AD$197, 0))), INDEX(Database!$G$6:$G$197, MATCH($B29&amp;"USD bn", Database!$AD$6:$AD$197, 0)), "")</f>
        <v>25.234121210982789</v>
      </c>
      <c r="D29" s="832">
        <f>IF(ISNUMBER(INDEX(Database!$H$6:$H$197, MATCH($B29&amp;"USD bn", Database!$AD$6:$AD$197, 0))), INDEX(Database!$H$6:$H$197, MATCH($B29&amp;"USD bn", Database!$AD$6:$AD$197, 0)), "")</f>
        <v>2.7673372045961901</v>
      </c>
      <c r="E29" s="832">
        <f>IF(ISNUMBER(INDEX(Database!$J$6:$J$197, MATCH($B29&amp;"USD bn", Database!$AD$6:$AD$197, 0))), INDEX(Database!$J$6:$J$197, MATCH($B29&amp;"USD bn", Database!$AD$6:$AD$197, 0)), "")</f>
        <v>22.466784006386597</v>
      </c>
      <c r="F29" s="833">
        <f>IF(ISNUMBER(INDEX(Database!$L$6:$L$197, MATCH($B29&amp;"USD bn", Database!$AD$6:$AD$197, 0))), INDEX(Database!$L$6:$L$197, MATCH($B29&amp;"USD bn", Database!$AD$6:$AD$197, 0)), "")</f>
        <v>10.01376658570374</v>
      </c>
      <c r="G29" s="832"/>
      <c r="H29" s="831">
        <f>IF(ISNUMBER(INDEX(Database!$P$6:$P$197, MATCH($B29&amp;"USD bn", Database!$AD$6:$AD$197, 0))), INDEX(Database!$P$6:$P$197, MATCH($B29&amp;"USD bn", Database!$AD$6:$AD$197, 0)), "")</f>
        <v>69.354605612096279</v>
      </c>
      <c r="I29" s="837">
        <f>IF(ISNUMBER(INDEX(Database!$Q$6:$Q$197, MATCH($B29&amp;"USD bn", Database!$AD$6:$AD$197, 0))), INDEX(Database!$Q$6:$Q$197, MATCH($B29&amp;"USD bn", Database!$AD$6:$AD$197, 0)), "")</f>
        <v>2.995571200851546</v>
      </c>
      <c r="J29" s="837"/>
      <c r="K29" s="837">
        <f>IF(ISNUMBER(INDEX(Database!$U$6:$U$197, MATCH($B29&amp;"USD bn", Database!$AD$6:$AD$197, 0))), INDEX(Database!$U$6:$U$197, MATCH($B29&amp;"USD bn", Database!$AD$6:$AD$197, 0)), "")</f>
        <v>45.932091746390377</v>
      </c>
      <c r="L29" s="837">
        <f>IF(ISNUMBER(INDEX(Database!$W$6:$W$197, MATCH($B29&amp;"USD bn", Database!$AD$6:$AD$197, 0))), INDEX(Database!$W$6:$W$197, MATCH($B29&amp;"USD bn", Database!$AD$6:$AD$197, 0)), "")</f>
        <v>20.426942664854352</v>
      </c>
      <c r="M29" s="834"/>
      <c r="N29" s="834"/>
      <c r="O29" s="835">
        <f>IF(ISNUMBER(INDEX(Database!$G$6:$G$197, MATCH($B29&amp;"% GDP", Database!$AD$6:$AD$197, 0))), INDEX(Database!$G$6:$G$197, MATCH($B29&amp;"% GDP", Database!$AD$6:$AD$197, 0)), "")</f>
        <v>3.5051335544057456</v>
      </c>
      <c r="P29" s="836">
        <f>IF(ISNUMBER(INDEX(Database!$H$6:$H$197, MATCH($B29&amp;"% GDP", Database!$AD$6:$AD$197, 0))), INDEX(Database!$H$6:$H$197, MATCH($B29&amp;"% GDP", Database!$AD$6:$AD$197, 0)), "")</f>
        <v>0.3843956526595334</v>
      </c>
      <c r="Q29" s="836">
        <f>IF(ISNUMBER(INDEX(Database!$J$6:$J$197, MATCH($B29&amp;"% GDP", Database!$AD$6:$AD$197, 0))), INDEX(Database!$J$6:$J$197, MATCH($B29&amp;"% GDP", Database!$AD$6:$AD$197, 0)), "")</f>
        <v>3.120737901746212</v>
      </c>
      <c r="R29" s="836">
        <f>IF(ISNUMBER(INDEX(Database!$L$6:$L$197, MATCH($B29&amp;"% GDP", Database!$AD$6:$AD$197, 0))), INDEX(Database!$L$6:$L$197, MATCH($B29&amp;"% GDP", Database!$AD$6:$AD$197, 0)), "")</f>
        <v>1.3909574647783118</v>
      </c>
      <c r="S29" s="836"/>
      <c r="T29" s="835">
        <f>IF(ISNUMBER(INDEX(Database!$P$6:$P$197, MATCH($B29&amp;"% GDP", Database!$AD$6:$AD$197, 0))), INDEX(Database!$P$6:$P$197, MATCH($B29&amp;"% GDP", Database!$AD$6:$AD$197, 0)), "")</f>
        <v>9.6336683671683065</v>
      </c>
      <c r="U29" s="836">
        <f>IF(ISNUMBER(INDEX(Database!$Q$6:$Q$197, MATCH($B29&amp;"% GDP", Database!$AD$6:$AD$197, 0))), INDEX(Database!$Q$6:$Q$197, MATCH($B29&amp;"% GDP", Database!$AD$6:$AD$197, 0)), "")</f>
        <v>0.41609838689949497</v>
      </c>
      <c r="V29" s="836"/>
      <c r="W29" s="836">
        <f>IF(ISNUMBER(INDEX(Database!$U$6:$U$197, MATCH($B29&amp;"% GDP", Database!$AD$6:$AD$197, 0))), INDEX(Database!$U$6:$U$197, MATCH($B29&amp;"% GDP", Database!$AD$6:$AD$197, 0)), "")</f>
        <v>6.3801752657922552</v>
      </c>
      <c r="X29" s="836">
        <f>IF(ISNUMBER(INDEX(Database!$W$6:$W$197, MATCH($B29&amp;"% GDP", Database!$AD$6:$AD$197, 0))), INDEX(Database!$W$6:$W$197, MATCH($B29&amp;"% GDP", Database!$AD$6:$AD$197, 0)), "")</f>
        <v>2.8373947144765559</v>
      </c>
      <c r="AB29" s="562"/>
    </row>
    <row r="30" spans="1:28">
      <c r="B30" s="838" t="s">
        <v>776</v>
      </c>
      <c r="C30" s="835"/>
      <c r="D30" s="836"/>
      <c r="E30" s="836"/>
      <c r="F30" s="836"/>
      <c r="G30" s="817"/>
      <c r="H30" s="835" t="str">
        <f>IF(ISNUMBER(INDEX(Database!$P$6:$P$197, MATCH($B30&amp;"USD bn", Database!$AD$6:$AD$197, 0))), INDEX(Database!$P$6:$P$197, MATCH($B30&amp;"USD bn", Database!$AD$6:$AD$197, 0)), "")</f>
        <v/>
      </c>
      <c r="I30" s="837" t="str">
        <f>IF(ISNUMBER(INDEX(Database!$Q$6:$Q$197, MATCH($B30&amp;"USD bn", Database!$AD$6:$AD$197, 0))), INDEX(Database!$Q$6:$Q$197, MATCH($B30&amp;"USD bn", Database!$AD$6:$AD$197, 0)), "")</f>
        <v/>
      </c>
      <c r="J30" s="837"/>
      <c r="K30" s="837" t="str">
        <f>IF(ISNUMBER(INDEX(Database!$U$6:$U$197, MATCH($B30&amp;"USD bn", Database!$AD$6:$AD$197, 0))), INDEX(Database!$U$6:$U$197, MATCH($B30&amp;"USD bn", Database!$AD$6:$AD$197, 0)), "")</f>
        <v/>
      </c>
      <c r="L30" s="837" t="str">
        <f>IF(ISNUMBER(INDEX(Database!$W$6:$W$197, MATCH($B30&amp;"USD bn", Database!$AD$6:$AD$197, 0))), INDEX(Database!$W$6:$W$197, MATCH($B30&amp;"USD bn", Database!$AD$6:$AD$197, 0)), "")</f>
        <v/>
      </c>
      <c r="M30" s="817"/>
      <c r="N30" s="817"/>
      <c r="O30" s="835" t="str">
        <f>IF(ISNUMBER(INDEX(Database!$G$6:$G$197, MATCH($B30&amp;"% GDP", Database!$AD$6:$AD$197, 0))), INDEX(Database!$G$6:$G$197, MATCH($B30&amp;"% GDP", Database!$AD$6:$AD$197, 0)), "")</f>
        <v/>
      </c>
      <c r="P30" s="836" t="str">
        <f>IF(ISNUMBER(INDEX(Database!$H$6:$H$197, MATCH($B30&amp;"% GDP", Database!$AD$6:$AD$197, 0))), INDEX(Database!$H$6:$H$197, MATCH($B30&amp;"% GDP", Database!$AD$6:$AD$197, 0)), "")</f>
        <v/>
      </c>
      <c r="Q30" s="836" t="str">
        <f>IF(ISNUMBER(INDEX(Database!$J$6:$J$197, MATCH($B30&amp;"% GDP", Database!$AD$6:$AD$197, 0))), INDEX(Database!$J$6:$J$197, MATCH($B30&amp;"% GDP", Database!$AD$6:$AD$197, 0)), "")</f>
        <v/>
      </c>
      <c r="R30" s="836" t="str">
        <f>IF(ISNUMBER(INDEX(Database!$L$6:$L$197, MATCH($B30&amp;"% GDP", Database!$AD$6:$AD$197, 0))), INDEX(Database!$L$6:$L$197, MATCH($B30&amp;"% GDP", Database!$AD$6:$AD$197, 0)), "")</f>
        <v/>
      </c>
      <c r="S30" s="836"/>
      <c r="T30" s="835" t="str">
        <f>IF(ISNUMBER(INDEX(Database!$P$6:$P$197, MATCH($B30&amp;"% GDP", Database!$AD$6:$AD$197, 0))), INDEX(Database!$P$6:$P$197, MATCH($B30&amp;"% GDP", Database!$AD$6:$AD$197, 0)), "")</f>
        <v/>
      </c>
      <c r="U30" s="836" t="str">
        <f>IF(ISNUMBER(INDEX(Database!$Q$6:$Q$197, MATCH($B30&amp;"% GDP", Database!$AD$6:$AD$197, 0))), INDEX(Database!$Q$6:$Q$197, MATCH($B30&amp;"% GDP", Database!$AD$6:$AD$197, 0)), "")</f>
        <v/>
      </c>
      <c r="V30" s="836"/>
      <c r="W30" s="836" t="str">
        <f>IF(ISNUMBER(INDEX(Database!$U$6:$U$197, MATCH($B30&amp;"% GDP", Database!$AD$6:$AD$197, 0))), INDEX(Database!$U$6:$U$197, MATCH($B30&amp;"% GDP", Database!$AD$6:$AD$197, 0)), "")</f>
        <v/>
      </c>
      <c r="X30" s="836" t="str">
        <f>IF(ISNUMBER(INDEX(Database!$W$6:$W$197, MATCH($B30&amp;"% GDP", Database!$AD$6:$AD$197, 0))), INDEX(Database!$W$6:$W$197, MATCH($B30&amp;"% GDP", Database!$AD$6:$AD$197, 0)), "")</f>
        <v/>
      </c>
      <c r="AB30" s="565"/>
    </row>
    <row r="31" spans="1:28">
      <c r="B31" s="7" t="s">
        <v>1011</v>
      </c>
      <c r="C31" s="839">
        <v>35.877305116828559</v>
      </c>
      <c r="D31" s="833">
        <v>2.0180984128216064</v>
      </c>
      <c r="E31" s="833">
        <v>33.859206704006951</v>
      </c>
      <c r="F31" s="833" t="s">
        <v>452</v>
      </c>
      <c r="G31" s="832"/>
      <c r="H31" s="839">
        <v>10.090492064108032</v>
      </c>
      <c r="I31" s="833" t="s">
        <v>452</v>
      </c>
      <c r="J31" s="837"/>
      <c r="K31" s="833">
        <v>10.090492064108032</v>
      </c>
      <c r="L31" s="833" t="s">
        <v>452</v>
      </c>
      <c r="M31" s="817"/>
      <c r="N31" s="817"/>
      <c r="O31" s="839">
        <v>8.6190786188140986</v>
      </c>
      <c r="P31" s="833">
        <v>0.48482317230829303</v>
      </c>
      <c r="Q31" s="833">
        <v>8.1342554465058043</v>
      </c>
      <c r="R31" s="833" t="s">
        <v>452</v>
      </c>
      <c r="S31" s="832"/>
      <c r="T31" s="839">
        <v>2.4241158615414649</v>
      </c>
      <c r="U31" s="833" t="s">
        <v>452</v>
      </c>
      <c r="V31" s="837"/>
      <c r="W31" s="833">
        <v>2.4241158615414649</v>
      </c>
      <c r="X31" s="833" t="s">
        <v>452</v>
      </c>
      <c r="AB31" s="718"/>
    </row>
    <row r="32" spans="1:28">
      <c r="B32" s="764" t="s">
        <v>547</v>
      </c>
      <c r="C32" s="831">
        <f>IF(ISNUMBER(INDEX(Database!$G$6:$G$197, MATCH($B32&amp;"USD bn", Database!$AD$6:$AD$197, 0))), INDEX(Database!$G$6:$G$197, MATCH($B32&amp;"USD bn", Database!$AD$6:$AD$197, 0)), "")</f>
        <v>42.45568516798415</v>
      </c>
      <c r="D32" s="832">
        <f>IF(ISNUMBER(INDEX(Database!$H$6:$H$197, MATCH($B32&amp;"USD bn", Database!$AD$6:$AD$197, 0))), INDEX(Database!$H$6:$H$197, MATCH($B32&amp;"USD bn", Database!$AD$6:$AD$197, 0)), "")</f>
        <v>10.95630584980236</v>
      </c>
      <c r="E32" s="832">
        <f>IF(ISNUMBER(INDEX(Database!$J$6:$J$197, MATCH($B32&amp;"USD bn", Database!$AD$6:$AD$197, 0))), INDEX(Database!$J$6:$J$197, MATCH($B32&amp;"USD bn", Database!$AD$6:$AD$197, 0)), "")</f>
        <v>31.499379318181788</v>
      </c>
      <c r="F32" s="833">
        <f>IF(ISNUMBER(INDEX(Database!$L$6:$L$197, MATCH($B32&amp;"USD bn", Database!$AD$6:$AD$197, 0))), INDEX(Database!$L$6:$L$197, MATCH($B32&amp;"USD bn", Database!$AD$6:$AD$197, 0)), "")</f>
        <v>14.722535985671922</v>
      </c>
      <c r="G32" s="832"/>
      <c r="H32" s="831">
        <f>IF(ISNUMBER(INDEX(Database!$P$6:$P$197, MATCH($B32&amp;"USD bn", Database!$AD$6:$AD$197, 0))), INDEX(Database!$P$6:$P$197, MATCH($B32&amp;"USD bn", Database!$AD$6:$AD$197, 0)), "")</f>
        <v>61.172707661396508</v>
      </c>
      <c r="I32" s="837">
        <f>IF(ISNUMBER(INDEX(Database!$Q$6:$Q$197, MATCH($B32&amp;"USD bn", Database!$AD$6:$AD$197, 0))), INDEX(Database!$Q$6:$Q$197, MATCH($B32&amp;"USD bn", Database!$AD$6:$AD$197, 0)), "")</f>
        <v>1.8260509749670601</v>
      </c>
      <c r="J32" s="837"/>
      <c r="K32" s="837">
        <f>IF(ISNUMBER(INDEX(Database!$U$6:$U$197, MATCH($B32&amp;"USD bn", Database!$AD$6:$AD$197, 0))), INDEX(Database!$U$6:$U$197, MATCH($B32&amp;"USD bn", Database!$AD$6:$AD$197, 0)), "")</f>
        <v>59.346656686429448</v>
      </c>
      <c r="L32" s="837" t="str">
        <f>IF(ISNUMBER(INDEX(Database!$W$6:$W$197, MATCH($B32&amp;"USD bn", Database!$AD$6:$AD$197, 0))), INDEX(Database!$W$6:$W$197, MATCH($B32&amp;"USD bn", Database!$AD$6:$AD$197, 0)), "")</f>
        <v/>
      </c>
      <c r="M32" s="817"/>
      <c r="N32" s="817"/>
      <c r="O32" s="835">
        <f>IF(ISNUMBER(INDEX(Database!$G$6:$G$197, MATCH($B32&amp;"% GDP", Database!$AD$6:$AD$197, 0))), INDEX(Database!$G$6:$G$197, MATCH($B32&amp;"% GDP", Database!$AD$6:$AD$197, 0)), "")</f>
        <v>8.2451011465566726</v>
      </c>
      <c r="P32" s="836">
        <f>IF(ISNUMBER(INDEX(Database!$H$6:$H$197, MATCH($B32&amp;"% GDP", Database!$AD$6:$AD$197, 0))), INDEX(Database!$H$6:$H$197, MATCH($B32&amp;"% GDP", Database!$AD$6:$AD$197, 0)), "")</f>
        <v>2.127768037821077</v>
      </c>
      <c r="Q32" s="836">
        <f>IF(ISNUMBER(INDEX(Database!$J$6:$J$197, MATCH($B32&amp;"% GDP", Database!$AD$6:$AD$197, 0))), INDEX(Database!$J$6:$J$197, MATCH($B32&amp;"% GDP", Database!$AD$6:$AD$197, 0)), "")</f>
        <v>6.117333108735596</v>
      </c>
      <c r="R32" s="836">
        <f>IF(ISNUMBER(INDEX(Database!$L$6:$L$197, MATCH($B32&amp;"% GDP", Database!$AD$6:$AD$197, 0))), INDEX(Database!$L$6:$L$197, MATCH($B32&amp;"% GDP", Database!$AD$6:$AD$197, 0)), "")</f>
        <v>2.8591883008220722</v>
      </c>
      <c r="S32" s="836"/>
      <c r="T32" s="835">
        <f>IF(ISNUMBER(INDEX(Database!$P$6:$P$197, MATCH($B32&amp;"% GDP", Database!$AD$6:$AD$197, 0))), INDEX(Database!$P$6:$P$197, MATCH($B32&amp;"% GDP", Database!$AD$6:$AD$197, 0)), "")</f>
        <v>11.880038211167678</v>
      </c>
      <c r="U32" s="836">
        <f>IF(ISNUMBER(INDEX(Database!$Q$6:$Q$197, MATCH($B32&amp;"% GDP", Database!$AD$6:$AD$197, 0))), INDEX(Database!$Q$6:$Q$197, MATCH($B32&amp;"% GDP", Database!$AD$6:$AD$197, 0)), "")</f>
        <v>0.35462800630351282</v>
      </c>
      <c r="V32" s="836"/>
      <c r="W32" s="836">
        <f>IF(ISNUMBER(INDEX(Database!$U$6:$U$197, MATCH($B32&amp;"% GDP", Database!$AD$6:$AD$197, 0))), INDEX(Database!$U$6:$U$197, MATCH($B32&amp;"% GDP", Database!$AD$6:$AD$197, 0)), "")</f>
        <v>11.525410204864166</v>
      </c>
      <c r="X32" s="836" t="str">
        <f>IF(ISNUMBER(INDEX(Database!$W$6:$W$197, MATCH($B32&amp;"% GDP", Database!$AD$6:$AD$197, 0))), INDEX(Database!$W$6:$W$197, MATCH($B32&amp;"% GDP", Database!$AD$6:$AD$197, 0)), "")</f>
        <v/>
      </c>
      <c r="AB32" s="562"/>
    </row>
    <row r="33" spans="2:28">
      <c r="B33" s="7" t="s">
        <v>1012</v>
      </c>
      <c r="C33" s="839">
        <v>1.0090492064108032</v>
      </c>
      <c r="D33" s="833">
        <v>0.11211657849008924</v>
      </c>
      <c r="E33" s="833">
        <v>0.89693262792071393</v>
      </c>
      <c r="F33" s="833">
        <v>0.3363497354702677</v>
      </c>
      <c r="G33" s="832"/>
      <c r="H33" s="839">
        <v>1.0426841799578299</v>
      </c>
      <c r="I33" s="833">
        <v>0.44846631396035697</v>
      </c>
      <c r="J33" s="837"/>
      <c r="K33" s="833">
        <v>0.59421786599747295</v>
      </c>
      <c r="L33" s="833" t="s">
        <v>452</v>
      </c>
      <c r="M33" s="817"/>
      <c r="N33" s="817"/>
      <c r="O33" s="839">
        <v>4.4912684696242557</v>
      </c>
      <c r="P33" s="833">
        <v>0.49902982995825063</v>
      </c>
      <c r="Q33" s="833">
        <v>3.992238639666005</v>
      </c>
      <c r="R33" s="833">
        <v>1.4970894898747518</v>
      </c>
      <c r="S33" s="832"/>
      <c r="T33" s="839">
        <v>4.6409774186117314</v>
      </c>
      <c r="U33" s="833">
        <v>1.9961193198330025</v>
      </c>
      <c r="V33" s="837"/>
      <c r="W33" s="833">
        <v>2.6448580987787285</v>
      </c>
      <c r="X33" s="833" t="s">
        <v>452</v>
      </c>
      <c r="AB33" s="718"/>
    </row>
    <row r="34" spans="2:28">
      <c r="B34" s="7" t="s">
        <v>541</v>
      </c>
      <c r="C34" s="831">
        <f>IF(ISNUMBER(INDEX(Database!$G$6:$G$197, MATCH($B34&amp;"USD bn", Database!$AD$6:$AD$197, 0))), INDEX(Database!$G$6:$G$197, MATCH($B34&amp;"USD bn", Database!$AD$6:$AD$197, 0)), "")</f>
        <v>22.550381835611422</v>
      </c>
      <c r="D34" s="832">
        <f>IF(ISNUMBER(INDEX(Database!$H$6:$H$197, MATCH($B34&amp;"USD bn", Database!$AD$6:$AD$197, 0))), INDEX(Database!$H$6:$H$197, MATCH($B34&amp;"USD bn", Database!$AD$6:$AD$197, 0)), "")</f>
        <v>6.3937269094473352</v>
      </c>
      <c r="E34" s="832">
        <f>IF(ISNUMBER(INDEX(Database!$J$6:$J$197, MATCH($B34&amp;"USD bn", Database!$AD$6:$AD$197, 0))), INDEX(Database!$J$6:$J$197, MATCH($B34&amp;"USD bn", Database!$AD$6:$AD$197, 0)), "")</f>
        <v>16.156654926164087</v>
      </c>
      <c r="F34" s="833">
        <f>IF(ISNUMBER(INDEX(Database!$L$6:$L$197, MATCH($B34&amp;"USD bn", Database!$AD$6:$AD$197, 0))), INDEX(Database!$L$6:$L$197, MATCH($B34&amp;"USD bn", Database!$AD$6:$AD$197, 0)), "")</f>
        <v>0.61610710785105727</v>
      </c>
      <c r="G34" s="832"/>
      <c r="H34" s="831">
        <f>IF(ISNUMBER(INDEX(Database!$P$6:$P$197, MATCH($B34&amp;"USD bn", Database!$AD$6:$AD$197, 0))), INDEX(Database!$P$6:$P$197, MATCH($B34&amp;"USD bn", Database!$AD$6:$AD$197, 0)), "")</f>
        <v>37.970293297142426</v>
      </c>
      <c r="I34" s="837">
        <f>IF(ISNUMBER(INDEX(Database!$Q$6:$Q$197, MATCH($B34&amp;"USD bn", Database!$AD$6:$AD$197, 0))), INDEX(Database!$Q$6:$Q$197, MATCH($B34&amp;"USD bn", Database!$AD$6:$AD$197, 0)), "")</f>
        <v>3.8775971822793812E-2</v>
      </c>
      <c r="J34" s="837"/>
      <c r="K34" s="837">
        <f>IF(ISNUMBER(INDEX(Database!$U$6:$U$197, MATCH($B34&amp;"USD bn", Database!$AD$6:$AD$197, 0))), INDEX(Database!$U$6:$U$197, MATCH($B34&amp;"USD bn", Database!$AD$6:$AD$197, 0)), "")</f>
        <v>37.931517325319632</v>
      </c>
      <c r="L34" s="837" t="str">
        <f>IF(ISNUMBER(INDEX(Database!$W$6:$W$197, MATCH($B34&amp;"USD bn", Database!$AD$6:$AD$197, 0))), INDEX(Database!$W$6:$W$197, MATCH($B34&amp;"USD bn", Database!$AD$6:$AD$197, 0)), "")</f>
        <v/>
      </c>
      <c r="M34" s="817"/>
      <c r="N34" s="817"/>
      <c r="O34" s="835">
        <f>IF(ISNUMBER(INDEX(Database!$G$6:$G$197, MATCH($B34&amp;"% GDP", Database!$AD$6:$AD$197, 0))), INDEX(Database!$G$6:$G$197, MATCH($B34&amp;"% GDP", Database!$AD$6:$AD$197, 0)), "")</f>
        <v>9.1911264362891103</v>
      </c>
      <c r="P34" s="836">
        <f>IF(ISNUMBER(INDEX(Database!$H$6:$H$197, MATCH($B34&amp;"% GDP", Database!$AD$6:$AD$197, 0))), INDEX(Database!$H$6:$H$197, MATCH($B34&amp;"% GDP", Database!$AD$6:$AD$197, 0)), "")</f>
        <v>2.6059670675301949</v>
      </c>
      <c r="Q34" s="836">
        <f>IF(ISNUMBER(INDEX(Database!$J$6:$J$197, MATCH($B34&amp;"% GDP", Database!$AD$6:$AD$197, 0))), INDEX(Database!$J$6:$J$197, MATCH($B34&amp;"% GDP", Database!$AD$6:$AD$197, 0)), "")</f>
        <v>6.5851593687589149</v>
      </c>
      <c r="R34" s="836">
        <f>IF(ISNUMBER(INDEX(Database!$L$6:$L$197, MATCH($B34&amp;"% GDP", Database!$AD$6:$AD$197, 0))), INDEX(Database!$L$6:$L$197, MATCH($B34&amp;"% GDP", Database!$AD$6:$AD$197, 0)), "")</f>
        <v>0.25111407726200669</v>
      </c>
      <c r="S34" s="836"/>
      <c r="T34" s="835">
        <f>IF(ISNUMBER(INDEX(Database!$P$6:$P$197, MATCH($B34&amp;"% GDP", Database!$AD$6:$AD$197, 0))), INDEX(Database!$P$6:$P$197, MATCH($B34&amp;"% GDP", Database!$AD$6:$AD$197, 0)), "")</f>
        <v>15.476002537832619</v>
      </c>
      <c r="U34" s="836">
        <f>IF(ISNUMBER(INDEX(Database!$Q$6:$Q$197, MATCH($B34&amp;"% GDP", Database!$AD$6:$AD$197, 0))), INDEX(Database!$Q$6:$Q$197, MATCH($B34&amp;"% GDP", Database!$AD$6:$AD$197, 0)), "")</f>
        <v>1.5804382485021397E-2</v>
      </c>
      <c r="V34" s="836"/>
      <c r="W34" s="836">
        <f>IF(ISNUMBER(INDEX(Database!$U$6:$U$197, MATCH($B34&amp;"% GDP", Database!$AD$6:$AD$197, 0))), INDEX(Database!$U$6:$U$197, MATCH($B34&amp;"% GDP", Database!$AD$6:$AD$197, 0)), "")</f>
        <v>15.460198155347598</v>
      </c>
      <c r="X34" s="836" t="str">
        <f>IF(ISNUMBER(INDEX(Database!$W$6:$W$197, MATCH($B34&amp;"% GDP", Database!$AD$6:$AD$197, 0))), INDEX(Database!$W$6:$W$197, MATCH($B34&amp;"% GDP", Database!$AD$6:$AD$197, 0)), "")</f>
        <v/>
      </c>
      <c r="AB34" s="563"/>
    </row>
    <row r="35" spans="2:28">
      <c r="B35" s="7" t="s">
        <v>19</v>
      </c>
      <c r="C35" s="831">
        <f>IF(ISNUMBER(INDEX(Database!$G$6:$G$197, MATCH($B35&amp;"USD bn", Database!$AD$6:$AD$197, 0))), INDEX(Database!$G$6:$G$197, MATCH($B35&amp;"USD bn", Database!$AD$6:$AD$197, 0)), "")</f>
        <v>12.151964295383831</v>
      </c>
      <c r="D35" s="832" t="str">
        <f>IF(ISNUMBER(INDEX(Database!$H$6:$H$197, MATCH($B35&amp;"USD bn", Database!$AD$6:$AD$197, 0))), INDEX(Database!$H$6:$H$197, MATCH($B35&amp;"USD bn", Database!$AD$6:$AD$197, 0)), "")</f>
        <v/>
      </c>
      <c r="E35" s="832">
        <f>IF(ISNUMBER(INDEX(Database!$J$6:$J$197, MATCH($B35&amp;"USD bn", Database!$AD$6:$AD$197, 0))), INDEX(Database!$J$6:$J$197, MATCH($B35&amp;"USD bn", Database!$AD$6:$AD$197, 0)), "")</f>
        <v>12.151964295383831</v>
      </c>
      <c r="F35" s="833">
        <f>IF(ISNUMBER(INDEX(Database!$L$6:$L$197, MATCH($B35&amp;"USD bn", Database!$AD$6:$AD$197, 0))), INDEX(Database!$L$6:$L$197, MATCH($B35&amp;"USD bn", Database!$AD$6:$AD$197, 0)), "")</f>
        <v>48.730141098973149</v>
      </c>
      <c r="G35" s="832"/>
      <c r="H35" s="831">
        <f>IF(ISNUMBER(INDEX(Database!$P$6:$P$197, MATCH($B35&amp;"USD bn", Database!$AD$6:$AD$197, 0))), INDEX(Database!$P$6:$P$197, MATCH($B35&amp;"USD bn", Database!$AD$6:$AD$197, 0)), "")</f>
        <v>55.669753413569694</v>
      </c>
      <c r="I35" s="837">
        <f>IF(ISNUMBER(INDEX(Database!$Q$6:$Q$197, MATCH($B35&amp;"USD bn", Database!$AD$6:$AD$197, 0))), INDEX(Database!$Q$6:$Q$197, MATCH($B35&amp;"USD bn", Database!$AD$6:$AD$197, 0)), "")</f>
        <v>43.105080896833208</v>
      </c>
      <c r="J35" s="837"/>
      <c r="K35" s="837">
        <f>IF(ISNUMBER(INDEX(Database!$U$6:$U$197, MATCH($B35&amp;"USD bn", Database!$AD$6:$AD$197, 0))), INDEX(Database!$U$6:$U$197, MATCH($B35&amp;"USD bn", Database!$AD$6:$AD$197, 0)), "")</f>
        <v>12.56467251673649</v>
      </c>
      <c r="L35" s="837" t="str">
        <f>IF(ISNUMBER(INDEX(Database!$W$6:$W$197, MATCH($B35&amp;"USD bn", Database!$AD$6:$AD$197, 0))), INDEX(Database!$W$6:$W$197, MATCH($B35&amp;"USD bn", Database!$AD$6:$AD$197, 0)), "")</f>
        <v/>
      </c>
      <c r="M35" s="817"/>
      <c r="N35" s="817"/>
      <c r="O35" s="835">
        <f>IF(ISNUMBER(INDEX(Database!$G$6:$G$197, MATCH($B35&amp;"% GDP", Database!$AD$6:$AD$197, 0))), INDEX(Database!$G$6:$G$197, MATCH($B35&amp;"% GDP", Database!$AD$6:$AD$197, 0)), "")</f>
        <v>3.412660153565414</v>
      </c>
      <c r="P35" s="836" t="str">
        <f>IF(ISNUMBER(INDEX(Database!$H$6:$H$197, MATCH($B35&amp;"% GDP", Database!$AD$6:$AD$197, 0))), INDEX(Database!$H$6:$H$197, MATCH($B35&amp;"% GDP", Database!$AD$6:$AD$197, 0)), "")</f>
        <v/>
      </c>
      <c r="Q35" s="836">
        <f>IF(ISNUMBER(INDEX(Database!$J$6:$J$197, MATCH($B35&amp;"% GDP", Database!$AD$6:$AD$197, 0))), INDEX(Database!$J$6:$J$197, MATCH($B35&amp;"% GDP", Database!$AD$6:$AD$197, 0)), "")</f>
        <v>3.412660153565414</v>
      </c>
      <c r="R35" s="836">
        <f>IF(ISNUMBER(INDEX(Database!$L$6:$L$197, MATCH($B35&amp;"% GDP", Database!$AD$6:$AD$197, 0))), INDEX(Database!$L$6:$L$197, MATCH($B35&amp;"% GDP", Database!$AD$6:$AD$197, 0)), "")</f>
        <v>13.684981848511372</v>
      </c>
      <c r="S35" s="836"/>
      <c r="T35" s="835">
        <f>IF(ISNUMBER(INDEX(Database!$P$6:$P$197, MATCH($B35&amp;"% GDP", Database!$AD$6:$AD$197, 0))), INDEX(Database!$P$6:$P$197, MATCH($B35&amp;"% GDP", Database!$AD$6:$AD$197, 0)), "")</f>
        <v>15.633846892182691</v>
      </c>
      <c r="U35" s="836">
        <f>IF(ISNUMBER(INDEX(Database!$Q$6:$Q$197, MATCH($B35&amp;"% GDP", Database!$AD$6:$AD$197, 0))), INDEX(Database!$Q$6:$Q$197, MATCH($B35&amp;"% GDP", Database!$AD$6:$AD$197, 0)), "")</f>
        <v>12.105285073024488</v>
      </c>
      <c r="V35" s="836"/>
      <c r="W35" s="836">
        <f>IF(ISNUMBER(INDEX(Database!$U$6:$U$197, MATCH($B35&amp;"% GDP", Database!$AD$6:$AD$197, 0))), INDEX(Database!$U$6:$U$197, MATCH($B35&amp;"% GDP", Database!$AD$6:$AD$197, 0)), "")</f>
        <v>3.528561819158202</v>
      </c>
      <c r="X35" s="836" t="str">
        <f>IF(ISNUMBER(INDEX(Database!$W$6:$W$197, MATCH($B35&amp;"% GDP", Database!$AD$6:$AD$197, 0))), INDEX(Database!$W$6:$W$197, MATCH($B35&amp;"% GDP", Database!$AD$6:$AD$197, 0)), "")</f>
        <v/>
      </c>
      <c r="AB35" s="563"/>
    </row>
    <row r="36" spans="2:28">
      <c r="B36" s="7" t="s">
        <v>1013</v>
      </c>
      <c r="C36" s="839">
        <v>1.0538958378068388</v>
      </c>
      <c r="D36" s="833">
        <v>0.25786813052720525</v>
      </c>
      <c r="E36" s="833">
        <v>0.79602770727963357</v>
      </c>
      <c r="F36" s="833" t="s">
        <v>452</v>
      </c>
      <c r="G36" s="832"/>
      <c r="H36" s="839">
        <v>1.3005523104850352</v>
      </c>
      <c r="I36" s="833">
        <v>0.96420257501476747</v>
      </c>
      <c r="J36" s="837"/>
      <c r="K36" s="833">
        <v>0.3363497354702677</v>
      </c>
      <c r="L36" s="833" t="s">
        <v>452</v>
      </c>
      <c r="M36" s="817"/>
      <c r="N36" s="817"/>
      <c r="O36" s="839">
        <v>3.5620118825577607</v>
      </c>
      <c r="P36" s="833">
        <v>0.87155609892370745</v>
      </c>
      <c r="Q36" s="833">
        <v>2.6904557836340532</v>
      </c>
      <c r="R36" s="833" t="s">
        <v>452</v>
      </c>
      <c r="S36" s="832"/>
      <c r="T36" s="839">
        <v>4.3956742380500025</v>
      </c>
      <c r="U36" s="833">
        <v>3.2588619351060366</v>
      </c>
      <c r="V36" s="837"/>
      <c r="W36" s="833">
        <v>1.1368123029439661</v>
      </c>
      <c r="X36" s="833" t="s">
        <v>452</v>
      </c>
      <c r="AB36" s="718"/>
    </row>
    <row r="37" spans="2:28">
      <c r="B37" s="7" t="s">
        <v>20</v>
      </c>
      <c r="C37" s="831">
        <f>IF(ISNUMBER(INDEX(Database!$G$6:$G$197, MATCH($B37&amp;"USD bn", Database!$AD$6:$AD$197, 0))), INDEX(Database!$G$6:$G$197, MATCH($B37&amp;"USD bn", Database!$AD$6:$AD$197, 0)), "")</f>
        <v>12.896485010704863</v>
      </c>
      <c r="D37" s="832">
        <f>IF(ISNUMBER(INDEX(Database!$H$6:$H$197, MATCH($B37&amp;"USD bn", Database!$AD$6:$AD$197, 0))), INDEX(Database!$H$6:$H$197, MATCH($B37&amp;"USD bn", Database!$AD$6:$AD$197, 0)), "")</f>
        <v>4.6792556233530913</v>
      </c>
      <c r="E37" s="832">
        <f>IF(ISNUMBER(INDEX(Database!$J$6:$J$197, MATCH($B37&amp;"USD bn", Database!$AD$6:$AD$197, 0))), INDEX(Database!$J$6:$J$197, MATCH($B37&amp;"USD bn", Database!$AD$6:$AD$197, 0)), "")</f>
        <v>8.2172293873517699</v>
      </c>
      <c r="F37" s="833">
        <f>IF(ISNUMBER(INDEX(Database!$L$6:$L$197, MATCH($B37&amp;"USD bn", Database!$AD$6:$AD$197, 0))), INDEX(Database!$L$6:$L$197, MATCH($B37&amp;"USD bn", Database!$AD$6:$AD$197, 0)), "")</f>
        <v>0.57064092967720625</v>
      </c>
      <c r="G37" s="832"/>
      <c r="H37" s="831">
        <f>IF(ISNUMBER(INDEX(Database!$P$6:$P$197, MATCH($B37&amp;"USD bn", Database!$AD$6:$AD$197, 0))), INDEX(Database!$P$6:$P$197, MATCH($B37&amp;"USD bn", Database!$AD$6:$AD$197, 0)), "")</f>
        <v>19.858304352766776</v>
      </c>
      <c r="I37" s="837">
        <f>IF(ISNUMBER(INDEX(Database!$Q$6:$Q$197, MATCH($B37&amp;"USD bn", Database!$AD$6:$AD$197, 0))), INDEX(Database!$Q$6:$Q$197, MATCH($B37&amp;"USD bn", Database!$AD$6:$AD$197, 0)), "")</f>
        <v>1.3695382312252951</v>
      </c>
      <c r="J37" s="837"/>
      <c r="K37" s="837">
        <f>IF(ISNUMBER(INDEX(Database!$U$6:$U$197, MATCH($B37&amp;"USD bn", Database!$AD$6:$AD$197, 0))), INDEX(Database!$U$6:$U$197, MATCH($B37&amp;"USD bn", Database!$AD$6:$AD$197, 0)), "")</f>
        <v>13.923638684123832</v>
      </c>
      <c r="L37" s="837">
        <f>IF(ISNUMBER(INDEX(Database!$W$6:$W$197, MATCH($B37&amp;"USD bn", Database!$AD$6:$AD$197, 0))), INDEX(Database!$W$6:$W$197, MATCH($B37&amp;"USD bn", Database!$AD$6:$AD$197, 0)), "")</f>
        <v>4.56512743741765</v>
      </c>
      <c r="M37" s="817"/>
      <c r="N37" s="817"/>
      <c r="O37" s="835">
        <f>IF(ISNUMBER(INDEX(Database!$G$6:$G$197, MATCH($B37&amp;"% GDP", Database!$AD$6:$AD$197, 0))), INDEX(Database!$G$6:$G$197, MATCH($B37&amp;"% GDP", Database!$AD$6:$AD$197, 0)), "")</f>
        <v>4.7843243517875598</v>
      </c>
      <c r="P37" s="836">
        <f>IF(ISNUMBER(INDEX(Database!$H$6:$H$197, MATCH($B37&amp;"% GDP", Database!$AD$6:$AD$197, 0))), INDEX(Database!$H$6:$H$197, MATCH($B37&amp;"% GDP", Database!$AD$6:$AD$197, 0)), "")</f>
        <v>1.7359052957813266</v>
      </c>
      <c r="Q37" s="836">
        <f>IF(ISNUMBER(INDEX(Database!$J$6:$J$197, MATCH($B37&amp;"% GDP", Database!$AD$6:$AD$197, 0))), INDEX(Database!$J$6:$J$197, MATCH($B37&amp;"% GDP", Database!$AD$6:$AD$197, 0)), "")</f>
        <v>3.0484190560062325</v>
      </c>
      <c r="R37" s="836">
        <f>IF(ISNUMBER(INDEX(Database!$L$6:$L$197, MATCH($B37&amp;"% GDP", Database!$AD$6:$AD$197, 0))), INDEX(Database!$L$6:$L$197, MATCH($B37&amp;"% GDP", Database!$AD$6:$AD$197, 0)), "")</f>
        <v>0.21169576777821061</v>
      </c>
      <c r="S37" s="836"/>
      <c r="T37" s="835">
        <f>IF(ISNUMBER(INDEX(Database!$P$6:$P$197, MATCH($B37&amp;"% GDP", Database!$AD$6:$AD$197, 0))), INDEX(Database!$P$6:$P$197, MATCH($B37&amp;"% GDP", Database!$AD$6:$AD$197, 0)), "")</f>
        <v>7.3670127186817282</v>
      </c>
      <c r="U37" s="836">
        <f>IF(ISNUMBER(INDEX(Database!$Q$6:$Q$197, MATCH($B37&amp;"% GDP", Database!$AD$6:$AD$197, 0))), INDEX(Database!$Q$6:$Q$197, MATCH($B37&amp;"% GDP", Database!$AD$6:$AD$197, 0)), "")</f>
        <v>0.50806984266770538</v>
      </c>
      <c r="V37" s="836"/>
      <c r="W37" s="836">
        <f>IF(ISNUMBER(INDEX(Database!$U$6:$U$197, MATCH($B37&amp;"% GDP", Database!$AD$6:$AD$197, 0))), INDEX(Database!$U$6:$U$197, MATCH($B37&amp;"% GDP", Database!$AD$6:$AD$197, 0)), "")</f>
        <v>5.1653767337883378</v>
      </c>
      <c r="X37" s="836">
        <f>IF(ISNUMBER(INDEX(Database!$W$6:$W$197, MATCH($B37&amp;"% GDP", Database!$AD$6:$AD$197, 0))), INDEX(Database!$W$6:$W$197, MATCH($B37&amp;"% GDP", Database!$AD$6:$AD$197, 0)), "")</f>
        <v>1.6935661422256849</v>
      </c>
      <c r="AB37" s="563"/>
    </row>
    <row r="38" spans="2:28">
      <c r="B38" s="7" t="s">
        <v>1014</v>
      </c>
      <c r="C38" s="839">
        <v>11.037603911309876</v>
      </c>
      <c r="D38" s="833">
        <v>0.32784962112801608</v>
      </c>
      <c r="E38" s="833">
        <v>10.709754290181859</v>
      </c>
      <c r="F38" s="833">
        <v>1.3113984845120643</v>
      </c>
      <c r="G38" s="832"/>
      <c r="H38" s="839">
        <v>2.5790836862070599</v>
      </c>
      <c r="I38" s="833" t="s">
        <v>452</v>
      </c>
      <c r="J38" s="837"/>
      <c r="K38" s="833">
        <v>2.5790836862070599</v>
      </c>
      <c r="L38" s="833" t="s">
        <v>452</v>
      </c>
      <c r="M38" s="817"/>
      <c r="N38" s="817"/>
      <c r="O38" s="839">
        <v>6.0865174507156548</v>
      </c>
      <c r="P38" s="833">
        <v>0.18078764705096004</v>
      </c>
      <c r="Q38" s="833">
        <v>5.9057298036646948</v>
      </c>
      <c r="R38" s="833">
        <v>0.72315058820384015</v>
      </c>
      <c r="S38" s="832"/>
      <c r="T38" s="839">
        <v>1.4221961568008856</v>
      </c>
      <c r="U38" s="833" t="s">
        <v>452</v>
      </c>
      <c r="V38" s="837"/>
      <c r="W38" s="833">
        <v>1.4221961568008856</v>
      </c>
      <c r="X38" s="833" t="s">
        <v>452</v>
      </c>
      <c r="AB38" s="718"/>
    </row>
    <row r="39" spans="2:28">
      <c r="B39" s="7" t="s">
        <v>39</v>
      </c>
      <c r="C39" s="839">
        <v>37.008431486129879</v>
      </c>
      <c r="D39" s="833">
        <v>1.2872497908219089</v>
      </c>
      <c r="E39" s="833">
        <v>35.721181695307976</v>
      </c>
      <c r="F39" s="833" t="s">
        <v>452</v>
      </c>
      <c r="G39" s="832"/>
      <c r="H39" s="839">
        <v>2.5744995816438179</v>
      </c>
      <c r="I39" s="833">
        <v>0</v>
      </c>
      <c r="J39" s="837"/>
      <c r="K39" s="833">
        <v>2.5744995816438179</v>
      </c>
      <c r="L39" s="833" t="s">
        <v>452</v>
      </c>
      <c r="M39" s="817"/>
      <c r="N39" s="817"/>
      <c r="O39" s="839">
        <v>10.65380819978763</v>
      </c>
      <c r="P39" s="833">
        <v>0.37056724173174366</v>
      </c>
      <c r="Q39" s="833">
        <v>10.283240958055886</v>
      </c>
      <c r="R39" s="833" t="s">
        <v>452</v>
      </c>
      <c r="S39" s="832"/>
      <c r="T39" s="839">
        <v>0.74113448346348731</v>
      </c>
      <c r="U39" s="833">
        <v>0</v>
      </c>
      <c r="V39" s="837"/>
      <c r="W39" s="833">
        <v>0.74113448346348731</v>
      </c>
      <c r="X39" s="833" t="s">
        <v>452</v>
      </c>
      <c r="AB39" s="718"/>
    </row>
    <row r="40" spans="2:28">
      <c r="B40" s="7" t="s">
        <v>1015</v>
      </c>
      <c r="C40" s="839">
        <v>0.87177135717816956</v>
      </c>
      <c r="D40" s="833">
        <v>2.1067807798472431E-2</v>
      </c>
      <c r="E40" s="833">
        <v>0.85070354937969705</v>
      </c>
      <c r="F40" s="833">
        <v>0</v>
      </c>
      <c r="G40" s="832"/>
      <c r="H40" s="839">
        <v>0.36323806549090398</v>
      </c>
      <c r="I40" s="833">
        <v>0</v>
      </c>
      <c r="J40" s="837"/>
      <c r="K40" s="833">
        <v>0.36323806549090398</v>
      </c>
      <c r="L40" s="833">
        <v>0</v>
      </c>
      <c r="M40" s="817"/>
      <c r="N40" s="817"/>
      <c r="O40" s="839">
        <v>4.2458232125593174</v>
      </c>
      <c r="P40" s="833">
        <v>0.10260739430351684</v>
      </c>
      <c r="Q40" s="833">
        <v>4.1432158182558005</v>
      </c>
      <c r="R40" s="833">
        <v>0</v>
      </c>
      <c r="S40" s="832"/>
      <c r="T40" s="839">
        <v>1.7690930052330491</v>
      </c>
      <c r="U40" s="833">
        <v>0</v>
      </c>
      <c r="V40" s="837"/>
      <c r="W40" s="833">
        <v>1.7690930052330491</v>
      </c>
      <c r="X40" s="833">
        <v>0</v>
      </c>
      <c r="AB40" s="718"/>
    </row>
    <row r="41" spans="2:28">
      <c r="B41" s="7" t="s">
        <v>1016</v>
      </c>
      <c r="C41" s="839">
        <v>22.983898590468293</v>
      </c>
      <c r="D41" s="833">
        <v>2.2423315698017849</v>
      </c>
      <c r="E41" s="833">
        <v>20.741567020666508</v>
      </c>
      <c r="F41" s="833">
        <v>2.8029144622522311</v>
      </c>
      <c r="G41" s="832"/>
      <c r="H41" s="839">
        <v>8.9693262792071398</v>
      </c>
      <c r="I41" s="833">
        <v>4.4846631396035699</v>
      </c>
      <c r="J41" s="837"/>
      <c r="K41" s="833">
        <v>4.4846631396035699</v>
      </c>
      <c r="L41" s="833" t="s">
        <v>452</v>
      </c>
      <c r="M41" s="817"/>
      <c r="N41" s="817"/>
      <c r="O41" s="839">
        <v>6.1192843906358192</v>
      </c>
      <c r="P41" s="833">
        <v>0.5970033551839824</v>
      </c>
      <c r="Q41" s="833">
        <v>5.5222810354518366</v>
      </c>
      <c r="R41" s="833">
        <v>0.74625419397997794</v>
      </c>
      <c r="S41" s="832"/>
      <c r="T41" s="839">
        <v>2.3880134207359296</v>
      </c>
      <c r="U41" s="833">
        <v>1.1940067103679648</v>
      </c>
      <c r="V41" s="837"/>
      <c r="W41" s="833">
        <v>1.1940067103679648</v>
      </c>
      <c r="X41" s="833" t="s">
        <v>452</v>
      </c>
      <c r="AB41" s="718"/>
    </row>
    <row r="42" spans="2:28">
      <c r="B42" s="7" t="s">
        <v>1017</v>
      </c>
      <c r="C42" s="839">
        <v>25.6</v>
      </c>
      <c r="D42" s="833">
        <v>4</v>
      </c>
      <c r="E42" s="833">
        <v>21.6</v>
      </c>
      <c r="F42" s="833">
        <v>2.1</v>
      </c>
      <c r="G42" s="832"/>
      <c r="H42" s="839">
        <v>11</v>
      </c>
      <c r="I42" s="833">
        <v>0.9</v>
      </c>
      <c r="J42" s="837"/>
      <c r="K42" s="833">
        <v>10.1</v>
      </c>
      <c r="L42" s="833" t="s">
        <v>452</v>
      </c>
      <c r="M42" s="817"/>
      <c r="N42" s="817"/>
      <c r="O42" s="839">
        <v>6.8</v>
      </c>
      <c r="P42" s="833">
        <v>1.1000000000000001</v>
      </c>
      <c r="Q42" s="833">
        <v>5.6999999999999993</v>
      </c>
      <c r="R42" s="833">
        <v>0.5</v>
      </c>
      <c r="S42" s="832"/>
      <c r="T42" s="839">
        <v>3</v>
      </c>
      <c r="U42" s="833">
        <v>0.3</v>
      </c>
      <c r="V42" s="837"/>
      <c r="W42" s="833">
        <v>2.7</v>
      </c>
      <c r="X42" s="833" t="s">
        <v>452</v>
      </c>
      <c r="AB42" s="718"/>
    </row>
    <row r="43" spans="2:28">
      <c r="B43" s="7" t="s">
        <v>1018</v>
      </c>
      <c r="C43" s="839">
        <v>2.3484922014</v>
      </c>
      <c r="D43" s="833">
        <v>0.20480000000000001</v>
      </c>
      <c r="E43" s="833">
        <v>2.1436922013999999</v>
      </c>
      <c r="F43" s="833" t="s">
        <v>452</v>
      </c>
      <c r="G43" s="832"/>
      <c r="H43" s="839">
        <v>0.81499999999999995</v>
      </c>
      <c r="I43" s="833">
        <v>0</v>
      </c>
      <c r="J43" s="837"/>
      <c r="K43" s="833">
        <v>0.81499999999999995</v>
      </c>
      <c r="L43" s="833" t="s">
        <v>452</v>
      </c>
      <c r="M43" s="817"/>
      <c r="N43" s="817"/>
      <c r="O43" s="839">
        <v>8.3915390415377136</v>
      </c>
      <c r="P43" s="833">
        <v>0.73178322443754651</v>
      </c>
      <c r="Q43" s="833">
        <v>7.6597558171001667</v>
      </c>
      <c r="R43" s="833" t="s">
        <v>452</v>
      </c>
      <c r="S43" s="832"/>
      <c r="T43" s="839">
        <v>2.9</v>
      </c>
      <c r="U43" s="833">
        <v>0</v>
      </c>
      <c r="V43" s="837"/>
      <c r="W43" s="833">
        <v>2.9</v>
      </c>
      <c r="X43" s="833" t="s">
        <v>452</v>
      </c>
      <c r="AB43" s="718"/>
    </row>
    <row r="44" spans="2:28">
      <c r="B44" s="7" t="s">
        <v>1019</v>
      </c>
      <c r="C44" s="839">
        <v>2.5450463317250258</v>
      </c>
      <c r="D44" s="833">
        <v>0.56058289245044624</v>
      </c>
      <c r="E44" s="833">
        <v>1.9844634392745795</v>
      </c>
      <c r="F44" s="833">
        <v>2.4553530689329541</v>
      </c>
      <c r="G44" s="832"/>
      <c r="H44" s="839">
        <v>1.9284051500295349</v>
      </c>
      <c r="I44" s="833">
        <v>0.35877305116828556</v>
      </c>
      <c r="J44" s="837"/>
      <c r="K44" s="833">
        <v>1.5696320988612493</v>
      </c>
      <c r="L44" s="833" t="s">
        <v>452</v>
      </c>
      <c r="M44" s="817"/>
      <c r="N44" s="817"/>
      <c r="O44" s="839">
        <v>5.0073723247600821</v>
      </c>
      <c r="P44" s="833">
        <v>1.1029454459823971</v>
      </c>
      <c r="Q44" s="833">
        <v>3.9044268787776857</v>
      </c>
      <c r="R44" s="833">
        <v>4.8309010534028989</v>
      </c>
      <c r="S44" s="832"/>
      <c r="T44" s="839">
        <v>3.7941323341794457</v>
      </c>
      <c r="U44" s="833">
        <v>0.70588508542873418</v>
      </c>
      <c r="V44" s="837"/>
      <c r="W44" s="833">
        <v>3.0882472487507115</v>
      </c>
      <c r="X44" s="833" t="s">
        <v>452</v>
      </c>
      <c r="AB44" s="718"/>
    </row>
    <row r="45" spans="2:28">
      <c r="B45" s="7" t="s">
        <v>1020</v>
      </c>
      <c r="C45" s="839">
        <v>3.3877794183228405</v>
      </c>
      <c r="D45" s="833">
        <v>0.21856641408534455</v>
      </c>
      <c r="E45" s="833">
        <v>3.1692130042374957</v>
      </c>
      <c r="F45" s="833">
        <v>4.9723859204415888</v>
      </c>
      <c r="G45" s="832"/>
      <c r="H45" s="839">
        <v>3.9341954535362018</v>
      </c>
      <c r="I45" s="833" t="s">
        <v>452</v>
      </c>
      <c r="J45" s="837"/>
      <c r="K45" s="833">
        <v>2.7320801760668068</v>
      </c>
      <c r="L45" s="833">
        <v>1.2021152774693951</v>
      </c>
      <c r="M45" s="817"/>
      <c r="N45" s="817"/>
      <c r="O45" s="839">
        <v>5.2753421898884847</v>
      </c>
      <c r="P45" s="833">
        <v>0.3403446574121603</v>
      </c>
      <c r="Q45" s="833">
        <v>4.9349975324763244</v>
      </c>
      <c r="R45" s="833">
        <v>7.7428409561266465</v>
      </c>
      <c r="S45" s="832"/>
      <c r="T45" s="839">
        <v>6.1262038334188862</v>
      </c>
      <c r="U45" s="833" t="s">
        <v>452</v>
      </c>
      <c r="V45" s="837"/>
      <c r="W45" s="833">
        <v>4.254308217652004</v>
      </c>
      <c r="X45" s="833">
        <v>1.8718956157668818</v>
      </c>
      <c r="AB45" s="718"/>
    </row>
    <row r="46" spans="2:28">
      <c r="B46" s="7" t="s">
        <v>1021</v>
      </c>
      <c r="C46" s="839">
        <v>6.5902161892806923</v>
      </c>
      <c r="D46" s="833">
        <v>5.0115712466012867E-2</v>
      </c>
      <c r="E46" s="833">
        <v>6.5401004768146791</v>
      </c>
      <c r="F46" s="833" t="s">
        <v>452</v>
      </c>
      <c r="G46" s="832"/>
      <c r="H46" s="839" t="s">
        <v>452</v>
      </c>
      <c r="I46" s="833" t="s">
        <v>452</v>
      </c>
      <c r="J46" s="837"/>
      <c r="K46" s="833" t="s">
        <v>452</v>
      </c>
      <c r="L46" s="833" t="s">
        <v>452</v>
      </c>
      <c r="M46" s="817"/>
      <c r="N46" s="817"/>
      <c r="O46" s="839">
        <v>16.978252746637391</v>
      </c>
      <c r="P46" s="833">
        <v>0.12911218818735659</v>
      </c>
      <c r="Q46" s="833">
        <v>16.849140558450035</v>
      </c>
      <c r="R46" s="833" t="s">
        <v>452</v>
      </c>
      <c r="S46" s="832"/>
      <c r="T46" s="839" t="s">
        <v>452</v>
      </c>
      <c r="U46" s="833" t="s">
        <v>452</v>
      </c>
      <c r="V46" s="837"/>
      <c r="W46" s="833" t="s">
        <v>452</v>
      </c>
      <c r="X46" s="833" t="s">
        <v>452</v>
      </c>
      <c r="AB46" s="718"/>
    </row>
    <row r="47" spans="2:28">
      <c r="B47" s="7" t="s">
        <v>1022</v>
      </c>
      <c r="C47" s="839">
        <v>0.70633444448756222</v>
      </c>
      <c r="D47" s="833">
        <v>0.14575155203711601</v>
      </c>
      <c r="E47" s="833">
        <v>0.56058289245044624</v>
      </c>
      <c r="F47" s="833">
        <v>0.22423315698017848</v>
      </c>
      <c r="G47" s="832"/>
      <c r="H47" s="839">
        <v>1.5808437567102582</v>
      </c>
      <c r="I47" s="833">
        <v>0.70633444448756222</v>
      </c>
      <c r="J47" s="837"/>
      <c r="K47" s="833">
        <v>0.87450931222269612</v>
      </c>
      <c r="L47" s="833" t="s">
        <v>452</v>
      </c>
      <c r="M47" s="817"/>
      <c r="N47" s="817"/>
      <c r="O47" s="839">
        <v>5.1116607835578804</v>
      </c>
      <c r="P47" s="833">
        <v>1.0547871458135309</v>
      </c>
      <c r="Q47" s="833">
        <v>4.0568736377443502</v>
      </c>
      <c r="R47" s="833">
        <v>1.6227494550977402</v>
      </c>
      <c r="S47" s="832"/>
      <c r="T47" s="839">
        <v>11.440383658439067</v>
      </c>
      <c r="U47" s="833">
        <v>5.1116607835578804</v>
      </c>
      <c r="V47" s="837"/>
      <c r="W47" s="833">
        <v>6.3287228748811861</v>
      </c>
      <c r="X47" s="833" t="s">
        <v>452</v>
      </c>
      <c r="AB47" s="718"/>
    </row>
    <row r="48" spans="2:28">
      <c r="B48" s="7" t="s">
        <v>553</v>
      </c>
      <c r="C48" s="831">
        <f>IF(ISNUMBER(INDEX(Database!$G$6:$G$197, MATCH($B48&amp;"USD bn", Database!$AD$6:$AD$197, 0))), INDEX(Database!$G$6:$G$197, MATCH($B48&amp;"USD bn", Database!$AD$6:$AD$197, 0)), "")</f>
        <v>40.366333649903929</v>
      </c>
      <c r="D48" s="832">
        <f>IF(ISNUMBER(INDEX(Database!$H$6:$H$197, MATCH($B48&amp;"USD bn", Database!$AD$6:$AD$197, 0))), INDEX(Database!$H$6:$H$197, MATCH($B48&amp;"USD bn", Database!$AD$6:$AD$197, 0)), "")</f>
        <v>3.3151095268037039</v>
      </c>
      <c r="E48" s="832">
        <f>IF(ISNUMBER(INDEX(Database!$J$6:$J$197, MATCH($B48&amp;"USD bn", Database!$AD$6:$AD$197, 0))), INDEX(Database!$J$6:$J$197, MATCH($B48&amp;"USD bn", Database!$AD$6:$AD$197, 0)), "")</f>
        <v>37.051224123100226</v>
      </c>
      <c r="F48" s="833" t="str">
        <f>IF(ISNUMBER(INDEX(Database!$L$6:$L$197, MATCH($B48&amp;"USD bn", Database!$AD$6:$AD$197, 0))), INDEX(Database!$L$6:$L$197, MATCH($B48&amp;"USD bn", Database!$AD$6:$AD$197, 0)), "")</f>
        <v/>
      </c>
      <c r="G48" s="832"/>
      <c r="H48" s="831">
        <f>IF(ISNUMBER(INDEX(Database!$P$6:$P$197, MATCH($B48&amp;"USD bn", Database!$AD$6:$AD$197, 0))), INDEX(Database!$P$6:$P$197, MATCH($B48&amp;"USD bn", Database!$AD$6:$AD$197, 0)), "")</f>
        <v>4.0951352978163404</v>
      </c>
      <c r="I48" s="837">
        <f>IF(ISNUMBER(INDEX(Database!$Q$6:$Q$197, MATCH($B48&amp;"USD bn", Database!$AD$6:$AD$197, 0))), INDEX(Database!$Q$6:$Q$197, MATCH($B48&amp;"USD bn", Database!$AD$6:$AD$197, 0)), "")</f>
        <v>2.2100730178691359</v>
      </c>
      <c r="J48" s="837"/>
      <c r="K48" s="837">
        <f>IF(ISNUMBER(INDEX(Database!$U$6:$U$197, MATCH($B48&amp;"USD bn", Database!$AD$6:$AD$197, 0))), INDEX(Database!$U$6:$U$197, MATCH($B48&amp;"USD bn", Database!$AD$6:$AD$197, 0)), "")</f>
        <v>1.8850622799472043</v>
      </c>
      <c r="L48" s="837" t="str">
        <f>IF(ISNUMBER(INDEX(Database!$W$6:$W$197, MATCH($B48&amp;"USD bn", Database!$AD$6:$AD$197, 0))), INDEX(Database!$W$6:$W$197, MATCH($B48&amp;"USD bn", Database!$AD$6:$AD$197, 0)), "")</f>
        <v/>
      </c>
      <c r="M48" s="817"/>
      <c r="N48" s="817"/>
      <c r="O48" s="835">
        <f>IF(ISNUMBER(INDEX(Database!$G$6:$G$197, MATCH($B48&amp;"% GDP", Database!$AD$6:$AD$197, 0))), INDEX(Database!$G$6:$G$197, MATCH($B48&amp;"% GDP", Database!$AD$6:$AD$197, 0)), "")</f>
        <v>19.27864943902545</v>
      </c>
      <c r="P48" s="836">
        <f>IF(ISNUMBER(INDEX(Database!$H$6:$H$197, MATCH($B48&amp;"% GDP", Database!$AD$6:$AD$197, 0))), INDEX(Database!$H$6:$H$197, MATCH($B48&amp;"% GDP", Database!$AD$6:$AD$197, 0)), "")</f>
        <v>1.5832707268764863</v>
      </c>
      <c r="Q48" s="836">
        <f>IF(ISNUMBER(INDEX(Database!$J$6:$J$197, MATCH($B48&amp;"% GDP", Database!$AD$6:$AD$197, 0))), INDEX(Database!$J$6:$J$197, MATCH($B48&amp;"% GDP", Database!$AD$6:$AD$197, 0)), "")</f>
        <v>17.695378712148965</v>
      </c>
      <c r="R48" s="836" t="str">
        <f>IF(ISNUMBER(INDEX(Database!$L$6:$L$197, MATCH($B48&amp;"% GDP", Database!$AD$6:$AD$197, 0))), INDEX(Database!$L$6:$L$197, MATCH($B48&amp;"% GDP", Database!$AD$6:$AD$197, 0)), "")</f>
        <v/>
      </c>
      <c r="S48" s="836"/>
      <c r="T48" s="835">
        <f>IF(ISNUMBER(INDEX(Database!$P$6:$P$197, MATCH($B48&amp;"% GDP", Database!$AD$6:$AD$197, 0))), INDEX(Database!$P$6:$P$197, MATCH($B48&amp;"% GDP", Database!$AD$6:$AD$197, 0)), "")</f>
        <v>1.9558050155533067</v>
      </c>
      <c r="U48" s="836">
        <f>IF(ISNUMBER(INDEX(Database!$Q$6:$Q$197, MATCH($B48&amp;"% GDP", Database!$AD$6:$AD$197, 0))), INDEX(Database!$Q$6:$Q$197, MATCH($B48&amp;"% GDP", Database!$AD$6:$AD$197, 0)), "")</f>
        <v>1.0555138179176575</v>
      </c>
      <c r="V48" s="836"/>
      <c r="W48" s="836">
        <f>IF(ISNUMBER(INDEX(Database!$U$6:$U$197, MATCH($B48&amp;"% GDP", Database!$AD$6:$AD$197, 0))), INDEX(Database!$U$6:$U$197, MATCH($B48&amp;"% GDP", Database!$AD$6:$AD$197, 0)), "")</f>
        <v>0.90029119763564913</v>
      </c>
      <c r="X48" s="836" t="str">
        <f>IF(ISNUMBER(INDEX(Database!$W$6:$W$197, MATCH($B48&amp;"% GDP", Database!$AD$6:$AD$197, 0))), INDEX(Database!$W$6:$W$197, MATCH($B48&amp;"% GDP", Database!$AD$6:$AD$197, 0)), "")</f>
        <v/>
      </c>
      <c r="AB48" s="563"/>
    </row>
    <row r="49" spans="2:28">
      <c r="B49" s="7" t="s">
        <v>36</v>
      </c>
      <c r="C49" s="831">
        <f>IF(ISNUMBER(INDEX(Database!$G$6:$G$197, MATCH($B49&amp;"USD bn", Database!$AD$6:$AD$197, 0))), INDEX(Database!$G$6:$G$197, MATCH($B49&amp;"USD bn", Database!$AD$6:$AD$197, 0)), "")</f>
        <v>23.917160810691193</v>
      </c>
      <c r="D49" s="832">
        <f>IF(ISNUMBER(INDEX(Database!$H$6:$H$197, MATCH($B49&amp;"USD bn", Database!$AD$6:$AD$197, 0))), INDEX(Database!$H$6:$H$197, MATCH($B49&amp;"USD bn", Database!$AD$6:$AD$197, 0)), "")</f>
        <v>2.6232409947782966</v>
      </c>
      <c r="E49" s="832">
        <f>IF(ISNUMBER(INDEX(Database!$J$6:$J$197, MATCH($B49&amp;"USD bn", Database!$AD$6:$AD$197, 0))), INDEX(Database!$J$6:$J$197, MATCH($B49&amp;"USD bn", Database!$AD$6:$AD$197, 0)), "")</f>
        <v>21.293919815912897</v>
      </c>
      <c r="F49" s="833" t="str">
        <f>IF(ISNUMBER(INDEX(Database!$L$6:$L$197, MATCH($B49&amp;"USD bn", Database!$AD$6:$AD$197, 0))), INDEX(Database!$L$6:$L$197, MATCH($B49&amp;"USD bn", Database!$AD$6:$AD$197, 0)), "")</f>
        <v/>
      </c>
      <c r="G49" s="832"/>
      <c r="H49" s="831">
        <f>IF(ISNUMBER(INDEX(Database!$P$6:$P$197, MATCH($B49&amp;"USD bn", Database!$AD$6:$AD$197, 0))), INDEX(Database!$P$6:$P$197, MATCH($B49&amp;"USD bn", Database!$AD$6:$AD$197, 0)), "")</f>
        <v>14.603062217895378</v>
      </c>
      <c r="I49" s="837">
        <f>IF(ISNUMBER(INDEX(Database!$Q$6:$Q$197, MATCH($B49&amp;"USD bn", Database!$AD$6:$AD$197, 0))), INDEX(Database!$Q$6:$Q$197, MATCH($B49&amp;"USD bn", Database!$AD$6:$AD$197, 0)), "")</f>
        <v>6.3191432870165452</v>
      </c>
      <c r="J49" s="837"/>
      <c r="K49" s="837">
        <f>IF(ISNUMBER(INDEX(Database!$U$6:$U$197, MATCH($B49&amp;"USD bn", Database!$AD$6:$AD$197, 0))), INDEX(Database!$U$6:$U$197, MATCH($B49&amp;"USD bn", Database!$AD$6:$AD$197, 0)), "")</f>
        <v>8.2839189308788317</v>
      </c>
      <c r="L49" s="837" t="str">
        <f>IF(ISNUMBER(INDEX(Database!$W$6:$W$197, MATCH($B49&amp;"USD bn", Database!$AD$6:$AD$197, 0))), INDEX(Database!$W$6:$W$197, MATCH($B49&amp;"USD bn", Database!$AD$6:$AD$197, 0)), "")</f>
        <v/>
      </c>
      <c r="M49" s="817"/>
      <c r="N49" s="817"/>
      <c r="O49" s="835">
        <f>IF(ISNUMBER(INDEX(Database!$G$6:$G$197, MATCH($B49&amp;"% GDP", Database!$AD$6:$AD$197, 0))), INDEX(Database!$G$6:$G$197, MATCH($B49&amp;"% GDP", Database!$AD$6:$AD$197, 0)), "")</f>
        <v>7.4022943167997886</v>
      </c>
      <c r="P49" s="836">
        <f>IF(ISNUMBER(INDEX(Database!$H$6:$H$197, MATCH($B49&amp;"% GDP", Database!$AD$6:$AD$197, 0))), INDEX(Database!$H$6:$H$197, MATCH($B49&amp;"% GDP", Database!$AD$6:$AD$197, 0)), "")</f>
        <v>0.81188574433816507</v>
      </c>
      <c r="Q49" s="836">
        <f>IF(ISNUMBER(INDEX(Database!$J$6:$J$197, MATCH($B49&amp;"% GDP", Database!$AD$6:$AD$197, 0))), INDEX(Database!$J$6:$J$197, MATCH($B49&amp;"% GDP", Database!$AD$6:$AD$197, 0)), "")</f>
        <v>6.5904085724616239</v>
      </c>
      <c r="R49" s="836" t="str">
        <f>IF(ISNUMBER(INDEX(Database!$L$6:$L$197, MATCH($B49&amp;"% GDP", Database!$AD$6:$AD$197, 0))), INDEX(Database!$L$6:$L$197, MATCH($B49&amp;"% GDP", Database!$AD$6:$AD$197, 0)), "")</f>
        <v/>
      </c>
      <c r="S49" s="836"/>
      <c r="T49" s="835">
        <f>IF(ISNUMBER(INDEX(Database!$P$6:$P$197, MATCH($B49&amp;"% GDP", Database!$AD$6:$AD$197, 0))), INDEX(Database!$P$6:$P$197, MATCH($B49&amp;"% GDP", Database!$AD$6:$AD$197, 0)), "")</f>
        <v>4.5196068763764252</v>
      </c>
      <c r="U49" s="836">
        <f>IF(ISNUMBER(INDEX(Database!$Q$6:$Q$197, MATCH($B49&amp;"% GDP", Database!$AD$6:$AD$197, 0))), INDEX(Database!$Q$6:$Q$197, MATCH($B49&amp;"% GDP", Database!$AD$6:$AD$197, 0)), "")</f>
        <v>1.9557571574137986</v>
      </c>
      <c r="V49" s="836"/>
      <c r="W49" s="836">
        <f>IF(ISNUMBER(INDEX(Database!$U$6:$U$197, MATCH($B49&amp;"% GDP", Database!$AD$6:$AD$197, 0))), INDEX(Database!$U$6:$U$197, MATCH($B49&amp;"% GDP", Database!$AD$6:$AD$197, 0)), "")</f>
        <v>2.563849718962627</v>
      </c>
      <c r="X49" s="836" t="str">
        <f>IF(ISNUMBER(INDEX(Database!$W$6:$W$197, MATCH($B49&amp;"% GDP", Database!$AD$6:$AD$197, 0))), INDEX(Database!$W$6:$W$197, MATCH($B49&amp;"% GDP", Database!$AD$6:$AD$197, 0)), "")</f>
        <v/>
      </c>
      <c r="AB49" s="563"/>
    </row>
    <row r="50" spans="2:28">
      <c r="B50" s="7" t="s">
        <v>1023</v>
      </c>
      <c r="C50" s="839">
        <v>7.0633444448756215</v>
      </c>
      <c r="D50" s="833">
        <v>1.7938652558414279</v>
      </c>
      <c r="E50" s="833">
        <v>5.2694791890341932</v>
      </c>
      <c r="F50" s="833">
        <v>8.8572097007170498</v>
      </c>
      <c r="G50" s="832"/>
      <c r="H50" s="839">
        <v>8.969326279207138</v>
      </c>
      <c r="I50" s="833">
        <v>1.3453989418810708</v>
      </c>
      <c r="J50" s="837"/>
      <c r="K50" s="833">
        <v>7.6239273373260676</v>
      </c>
      <c r="L50" s="833" t="s">
        <v>452</v>
      </c>
      <c r="M50" s="817"/>
      <c r="N50" s="817"/>
      <c r="O50" s="839">
        <v>3.2740579303928747</v>
      </c>
      <c r="P50" s="833">
        <v>0.83150677597279377</v>
      </c>
      <c r="Q50" s="833">
        <v>2.4425511544200815</v>
      </c>
      <c r="R50" s="833">
        <v>4.1055647063656693</v>
      </c>
      <c r="S50" s="832"/>
      <c r="T50" s="839">
        <v>4.1575338798639683</v>
      </c>
      <c r="U50" s="833">
        <v>0.62363008197959524</v>
      </c>
      <c r="V50" s="837"/>
      <c r="W50" s="833">
        <v>3.5339037978843733</v>
      </c>
      <c r="X50" s="833" t="s">
        <v>452</v>
      </c>
      <c r="AB50" s="718"/>
    </row>
    <row r="51" spans="2:28">
      <c r="B51" s="7" t="s">
        <v>1024</v>
      </c>
      <c r="C51" s="839" t="s">
        <v>452</v>
      </c>
      <c r="D51" s="833" t="s">
        <v>452</v>
      </c>
      <c r="E51" s="833" t="s">
        <v>452</v>
      </c>
      <c r="F51" s="833" t="s">
        <v>452</v>
      </c>
      <c r="G51" s="832"/>
      <c r="H51" s="839" t="s">
        <v>452</v>
      </c>
      <c r="I51" s="833" t="s">
        <v>452</v>
      </c>
      <c r="J51" s="837"/>
      <c r="K51" s="833" t="s">
        <v>452</v>
      </c>
      <c r="L51" s="833" t="s">
        <v>452</v>
      </c>
      <c r="M51" s="817"/>
      <c r="N51" s="817"/>
      <c r="O51" s="839" t="s">
        <v>452</v>
      </c>
      <c r="P51" s="833" t="s">
        <v>452</v>
      </c>
      <c r="Q51" s="833" t="s">
        <v>452</v>
      </c>
      <c r="R51" s="833" t="s">
        <v>452</v>
      </c>
      <c r="S51" s="832"/>
      <c r="T51" s="839" t="s">
        <v>452</v>
      </c>
      <c r="U51" s="833" t="s">
        <v>452</v>
      </c>
      <c r="V51" s="837"/>
      <c r="W51" s="833" t="s">
        <v>452</v>
      </c>
      <c r="X51" s="833" t="s">
        <v>452</v>
      </c>
      <c r="AB51" s="718"/>
    </row>
    <row r="52" spans="2:28">
      <c r="B52" s="7" t="s">
        <v>31</v>
      </c>
      <c r="C52" s="831">
        <f>IF(ISNUMBER(INDEX(Database!$G$6:$G$197, MATCH($B52&amp;"USD bn", Database!$AD$6:$AD$197, 0))), INDEX(Database!$G$6:$G$197, MATCH($B52&amp;"USD bn", Database!$AD$6:$AD$197, 0)), "")</f>
        <v>62.546527888588585</v>
      </c>
      <c r="D52" s="832">
        <f>IF(ISNUMBER(INDEX(Database!$H$6:$H$197, MATCH($B52&amp;"USD bn", Database!$AD$6:$AD$197, 0))), INDEX(Database!$H$6:$H$197, MATCH($B52&amp;"USD bn", Database!$AD$6:$AD$197, 0)), "")</f>
        <v>13.480479938907852</v>
      </c>
      <c r="E52" s="832">
        <f>IF(ISNUMBER(INDEX(Database!$J$6:$J$197, MATCH($B52&amp;"USD bn", Database!$AD$6:$AD$197, 0))), INDEX(Database!$J$6:$J$197, MATCH($B52&amp;"USD bn", Database!$AD$6:$AD$197, 0)), "")</f>
        <v>49.06604794968073</v>
      </c>
      <c r="F52" s="833" t="str">
        <f>IF(ISNUMBER(INDEX(Database!$L$6:$L$197, MATCH($B52&amp;"USD bn", Database!$AD$6:$AD$197, 0))), INDEX(Database!$L$6:$L$197, MATCH($B52&amp;"USD bn", Database!$AD$6:$AD$197, 0)), "")</f>
        <v/>
      </c>
      <c r="G52" s="832"/>
      <c r="H52" s="831">
        <f>IF(ISNUMBER(INDEX(Database!$P$6:$P$197, MATCH($B52&amp;"USD bn", Database!$AD$6:$AD$197, 0))), INDEX(Database!$P$6:$P$197, MATCH($B52&amp;"USD bn", Database!$AD$6:$AD$197, 0)), "")</f>
        <v>15.94465369118133</v>
      </c>
      <c r="I52" s="837">
        <f>IF(ISNUMBER(INDEX(Database!$Q$6:$Q$197, MATCH($B52&amp;"USD bn", Database!$AD$6:$AD$197, 0))), INDEX(Database!$Q$6:$Q$197, MATCH($B52&amp;"USD bn", Database!$AD$6:$AD$197, 0)), "")</f>
        <v>15.94465369118133</v>
      </c>
      <c r="J52" s="837"/>
      <c r="K52" s="837" t="str">
        <f>IF(ISNUMBER(INDEX(Database!$U$6:$U$197, MATCH($B52&amp;"USD bn", Database!$AD$6:$AD$197, 0))), INDEX(Database!$U$6:$U$197, MATCH($B52&amp;"USD bn", Database!$AD$6:$AD$197, 0)), "")</f>
        <v/>
      </c>
      <c r="L52" s="837" t="str">
        <f>IF(ISNUMBER(INDEX(Database!$W$6:$W$197, MATCH($B52&amp;"USD bn", Database!$AD$6:$AD$197, 0))), INDEX(Database!$W$6:$W$197, MATCH($B52&amp;"USD bn", Database!$AD$6:$AD$197, 0)), "")</f>
        <v/>
      </c>
      <c r="M52" s="817"/>
      <c r="N52" s="817"/>
      <c r="O52" s="835">
        <f>IF(ISNUMBER(INDEX(Database!$G$6:$G$197, MATCH($B52&amp;"% GDP", Database!$AD$6:$AD$197, 0))), INDEX(Database!$G$6:$G$197, MATCH($B52&amp;"% GDP", Database!$AD$6:$AD$197, 0)), "")</f>
        <v>18.39709108521307</v>
      </c>
      <c r="P52" s="836">
        <f>IF(ISNUMBER(INDEX(Database!$H$6:$H$197, MATCH($B52&amp;"% GDP", Database!$AD$6:$AD$197, 0))), INDEX(Database!$H$6:$H$197, MATCH($B52&amp;"% GDP", Database!$AD$6:$AD$197, 0)), "")</f>
        <v>3.9650740925256436</v>
      </c>
      <c r="Q52" s="836">
        <f>IF(ISNUMBER(INDEX(Database!$J$6:$J$197, MATCH($B52&amp;"% GDP", Database!$AD$6:$AD$197, 0))), INDEX(Database!$J$6:$J$197, MATCH($B52&amp;"% GDP", Database!$AD$6:$AD$197, 0)), "")</f>
        <v>14.432016992687425</v>
      </c>
      <c r="R52" s="836" t="str">
        <f>IF(ISNUMBER(INDEX(Database!$L$6:$L$197, MATCH($B52&amp;"% GDP", Database!$AD$6:$AD$197, 0))), INDEX(Database!$L$6:$L$197, MATCH($B52&amp;"% GDP", Database!$AD$6:$AD$197, 0)), "")</f>
        <v/>
      </c>
      <c r="S52" s="836"/>
      <c r="T52" s="835">
        <f>IF(ISNUMBER(INDEX(Database!$P$6:$P$197, MATCH($B52&amp;"% GDP", Database!$AD$6:$AD$197, 0))), INDEX(Database!$P$6:$P$197, MATCH($B52&amp;"% GDP", Database!$AD$6:$AD$197, 0)), "")</f>
        <v>4.6898725825572125</v>
      </c>
      <c r="U52" s="836">
        <f>IF(ISNUMBER(INDEX(Database!$Q$6:$Q$197, MATCH($B52&amp;"% GDP", Database!$AD$6:$AD$197, 0))), INDEX(Database!$Q$6:$Q$197, MATCH($B52&amp;"% GDP", Database!$AD$6:$AD$197, 0)), "")</f>
        <v>4.6898725825572125</v>
      </c>
      <c r="V52" s="836"/>
      <c r="W52" s="836" t="str">
        <f>IF(ISNUMBER(INDEX(Database!$U$6:$U$197, MATCH($B52&amp;"% GDP", Database!$AD$6:$AD$197, 0))), INDEX(Database!$U$6:$U$197, MATCH($B52&amp;"% GDP", Database!$AD$6:$AD$197, 0)), "")</f>
        <v/>
      </c>
      <c r="X52" s="836" t="str">
        <f>IF(ISNUMBER(INDEX(Database!$W$6:$W$197, MATCH($B52&amp;"% GDP", Database!$AD$6:$AD$197, 0))), INDEX(Database!$W$6:$W$197, MATCH($B52&amp;"% GDP", Database!$AD$6:$AD$197, 0)), "")</f>
        <v/>
      </c>
      <c r="AB52" s="563"/>
    </row>
    <row r="53" spans="2:28">
      <c r="B53" s="7" t="s">
        <v>1025</v>
      </c>
      <c r="C53" s="839">
        <v>2.4042305549387901</v>
      </c>
      <c r="D53" s="833">
        <v>0.17485313126827565</v>
      </c>
      <c r="E53" s="833">
        <v>2.2293774236705146</v>
      </c>
      <c r="F53" s="833">
        <v>1.344183446624869</v>
      </c>
      <c r="G53" s="832"/>
      <c r="H53" s="839">
        <v>4.3822566024111582</v>
      </c>
      <c r="I53" s="833">
        <v>0</v>
      </c>
      <c r="J53" s="837"/>
      <c r="K53" s="833">
        <v>4.3822566024111582</v>
      </c>
      <c r="L53" s="833" t="s">
        <v>452</v>
      </c>
      <c r="M53" s="817"/>
      <c r="N53" s="817"/>
      <c r="O53" s="839">
        <v>2.5202589739197503</v>
      </c>
      <c r="P53" s="833">
        <v>0.18329156173961816</v>
      </c>
      <c r="Q53" s="833">
        <v>2.3369674121801323</v>
      </c>
      <c r="R53" s="833">
        <v>1.4090538808733148</v>
      </c>
      <c r="S53" s="832"/>
      <c r="T53" s="839">
        <v>4.5937447660991806</v>
      </c>
      <c r="U53" s="833">
        <v>0</v>
      </c>
      <c r="V53" s="837"/>
      <c r="W53" s="833">
        <v>4.5937447660991806</v>
      </c>
      <c r="X53" s="833" t="s">
        <v>452</v>
      </c>
      <c r="AB53" s="718"/>
    </row>
    <row r="54" spans="2:28">
      <c r="B54" s="7" t="s">
        <v>1026</v>
      </c>
      <c r="C54" s="839">
        <v>4.0361968256432039</v>
      </c>
      <c r="D54" s="833">
        <v>0.11211657849008899</v>
      </c>
      <c r="E54" s="833">
        <v>3.9240802471531144</v>
      </c>
      <c r="F54" s="833" t="s">
        <v>452</v>
      </c>
      <c r="G54" s="832"/>
      <c r="H54" s="839">
        <v>3.3634973547026692</v>
      </c>
      <c r="I54" s="833">
        <v>0.67269947094053384</v>
      </c>
      <c r="J54" s="837"/>
      <c r="K54" s="833">
        <v>2.5786813052720463</v>
      </c>
      <c r="L54" s="833">
        <v>0.11211657849008899</v>
      </c>
      <c r="M54" s="817"/>
      <c r="N54" s="817"/>
      <c r="O54" s="839">
        <v>8.0226062805152409</v>
      </c>
      <c r="P54" s="833">
        <v>0.22285017445875668</v>
      </c>
      <c r="Q54" s="833">
        <v>7.799756106056484</v>
      </c>
      <c r="R54" s="833" t="s">
        <v>452</v>
      </c>
      <c r="S54" s="832"/>
      <c r="T54" s="839">
        <v>6.6855052337626999</v>
      </c>
      <c r="U54" s="833">
        <v>1.3371010467525402</v>
      </c>
      <c r="V54" s="837"/>
      <c r="W54" s="833">
        <v>5.1255540125514027</v>
      </c>
      <c r="X54" s="833">
        <v>0.22285017445875668</v>
      </c>
      <c r="AB54" s="718"/>
    </row>
    <row r="55" spans="2:28">
      <c r="B55" s="7" t="s">
        <v>21</v>
      </c>
      <c r="C55" s="831">
        <f>IF(ISNUMBER(INDEX(Database!$G$6:$G$197, MATCH($B55&amp;"USD bn", Database!$AD$6:$AD$197, 0))), INDEX(Database!$G$6:$G$197, MATCH($B55&amp;"USD bn", Database!$AD$6:$AD$197, 0)), "")</f>
        <v>22.474815922163589</v>
      </c>
      <c r="D55" s="832">
        <f>IF(ISNUMBER(INDEX(Database!$H$6:$H$197, MATCH($B55&amp;"USD bn", Database!$AD$6:$AD$197, 0))), INDEX(Database!$H$6:$H$197, MATCH($B55&amp;"USD bn", Database!$AD$6:$AD$197, 0)), "")</f>
        <v>4.125811618561432</v>
      </c>
      <c r="E55" s="832">
        <f>IF(ISNUMBER(INDEX(Database!$J$6:$J$197, MATCH($B55&amp;"USD bn", Database!$AD$6:$AD$197, 0))), INDEX(Database!$J$6:$J$197, MATCH($B55&amp;"USD bn", Database!$AD$6:$AD$197, 0)), "")</f>
        <v>18.349004303602158</v>
      </c>
      <c r="F55" s="833">
        <f>IF(ISNUMBER(INDEX(Database!$L$6:$L$197, MATCH($B55&amp;"USD bn", Database!$AD$6:$AD$197, 0))), INDEX(Database!$L$6:$L$197, MATCH($B55&amp;"USD bn", Database!$AD$6:$AD$197, 0)), "")</f>
        <v>36.372286637317892</v>
      </c>
      <c r="G55" s="832"/>
      <c r="H55" s="831">
        <f>IF(ISNUMBER(INDEX(Database!$P$6:$P$197, MATCH($B55&amp;"USD bn", Database!$AD$6:$AD$197, 0))), INDEX(Database!$P$6:$P$197, MATCH($B55&amp;"USD bn", Database!$AD$6:$AD$197, 0)), "")</f>
        <v>28.413813173092809</v>
      </c>
      <c r="I55" s="837">
        <f>IF(ISNUMBER(INDEX(Database!$Q$6:$Q$197, MATCH($B55&amp;"USD bn", Database!$AD$6:$AD$197, 0))), INDEX(Database!$Q$6:$Q$197, MATCH($B55&amp;"USD bn", Database!$AD$6:$AD$197, 0)), "")</f>
        <v>1.2703156825570725</v>
      </c>
      <c r="J55" s="837"/>
      <c r="K55" s="837">
        <f>IF(ISNUMBER(INDEX(Database!$U$6:$U$197, MATCH($B55&amp;"USD bn", Database!$AD$6:$AD$197, 0))), INDEX(Database!$U$6:$U$197, MATCH($B55&amp;"USD bn", Database!$AD$6:$AD$197, 0)), "")</f>
        <v>27.143497490535736</v>
      </c>
      <c r="L55" s="837" t="str">
        <f>IF(ISNUMBER(INDEX(Database!$W$6:$W$197, MATCH($B55&amp;"USD bn", Database!$AD$6:$AD$197, 0))), INDEX(Database!$W$6:$W$197, MATCH($B55&amp;"USD bn", Database!$AD$6:$AD$197, 0)), "")</f>
        <v/>
      </c>
      <c r="M55" s="817"/>
      <c r="N55" s="817"/>
      <c r="O55" s="835">
        <f>IF(ISNUMBER(INDEX(Database!$G$6:$G$197, MATCH($B55&amp;"% GDP", Database!$AD$6:$AD$197, 0))), INDEX(Database!$G$6:$G$197, MATCH($B55&amp;"% GDP", Database!$AD$6:$AD$197, 0)), "")</f>
        <v>4.1538214254109116</v>
      </c>
      <c r="P55" s="836">
        <f>IF(ISNUMBER(INDEX(Database!$H$6:$H$197, MATCH($B55&amp;"% GDP", Database!$AD$6:$AD$197, 0))), INDEX(Database!$H$6:$H$197, MATCH($B55&amp;"% GDP", Database!$AD$6:$AD$197, 0)), "")</f>
        <v>0.76253726650055398</v>
      </c>
      <c r="Q55" s="836">
        <f>IF(ISNUMBER(INDEX(Database!$J$6:$J$197, MATCH($B55&amp;"% GDP", Database!$AD$6:$AD$197, 0))), INDEX(Database!$J$6:$J$197, MATCH($B55&amp;"% GDP", Database!$AD$6:$AD$197, 0)), "")</f>
        <v>3.3912841589103584</v>
      </c>
      <c r="R55" s="836">
        <f>IF(ISNUMBER(INDEX(Database!$L$6:$L$197, MATCH($B55&amp;"% GDP", Database!$AD$6:$AD$197, 0))), INDEX(Database!$L$6:$L$197, MATCH($B55&amp;"% GDP", Database!$AD$6:$AD$197, 0)), "")</f>
        <v>6.7223680073075149</v>
      </c>
      <c r="S55" s="836"/>
      <c r="T55" s="835">
        <f>IF(ISNUMBER(INDEX(Database!$P$6:$P$197, MATCH($B55&amp;"% GDP", Database!$AD$6:$AD$197, 0))), INDEX(Database!$P$6:$P$197, MATCH($B55&amp;"% GDP", Database!$AD$6:$AD$197, 0)), "")</f>
        <v>5.2514737537682885</v>
      </c>
      <c r="U55" s="836">
        <f>IF(ISNUMBER(INDEX(Database!$Q$6:$Q$197, MATCH($B55&amp;"% GDP", Database!$AD$6:$AD$197, 0))), INDEX(Database!$Q$6:$Q$197, MATCH($B55&amp;"% GDP", Database!$AD$6:$AD$197, 0)), "")</f>
        <v>0.2347812110014863</v>
      </c>
      <c r="V55" s="836"/>
      <c r="W55" s="836">
        <f>IF(ISNUMBER(INDEX(Database!$U$6:$U$197, MATCH($B55&amp;"% GDP", Database!$AD$6:$AD$197, 0))), INDEX(Database!$U$6:$U$197, MATCH($B55&amp;"% GDP", Database!$AD$6:$AD$197, 0)), "")</f>
        <v>5.0166925427668021</v>
      </c>
      <c r="X55" s="836" t="str">
        <f>IF(ISNUMBER(INDEX(Database!$W$6:$W$197, MATCH($B55&amp;"% GDP", Database!$AD$6:$AD$197, 0))), INDEX(Database!$W$6:$W$197, MATCH($B55&amp;"% GDP", Database!$AD$6:$AD$197, 0)), "")</f>
        <v/>
      </c>
      <c r="AB55" s="563"/>
    </row>
    <row r="56" spans="2:28">
      <c r="B56" s="7" t="s">
        <v>558</v>
      </c>
      <c r="C56" s="831">
        <f>IF(ISNUMBER(INDEX(Database!$G$6:$G$197, MATCH($B56&amp;"USD bn", Database!$AD$6:$AD$197, 0))), INDEX(Database!$G$6:$G$197, MATCH($B56&amp;"USD bn", Database!$AD$6:$AD$197, 0)), "")</f>
        <v>59.481808256628398</v>
      </c>
      <c r="D56" s="832">
        <f>IF(ISNUMBER(INDEX(Database!$H$6:$H$197, MATCH($B56&amp;"USD bn", Database!$AD$6:$AD$197, 0))), INDEX(Database!$H$6:$H$197, MATCH($B56&amp;"USD bn", Database!$AD$6:$AD$197, 0)), "")</f>
        <v>7.6892624776985965</v>
      </c>
      <c r="E56" s="832">
        <f>IF(ISNUMBER(INDEX(Database!$J$6:$J$197, MATCH($B56&amp;"USD bn", Database!$AD$6:$AD$197, 0))), INDEX(Database!$J$6:$J$197, MATCH($B56&amp;"USD bn", Database!$AD$6:$AD$197, 0)), "")</f>
        <v>51.792545778929799</v>
      </c>
      <c r="F56" s="833" t="str">
        <f>IF(ISNUMBER(INDEX(Database!$L$6:$L$197, MATCH($B56&amp;"USD bn", Database!$AD$6:$AD$197, 0))), INDEX(Database!$L$6:$L$197, MATCH($B56&amp;"USD bn", Database!$AD$6:$AD$197, 0)), "")</f>
        <v/>
      </c>
      <c r="G56" s="832"/>
      <c r="H56" s="831">
        <f>IF(ISNUMBER(INDEX(Database!$P$6:$P$197, MATCH($B56&amp;"USD bn", Database!$AD$6:$AD$197, 0))), INDEX(Database!$P$6:$P$197, MATCH($B56&amp;"USD bn", Database!$AD$6:$AD$197, 0)), "")</f>
        <v>46.733119713121745</v>
      </c>
      <c r="I56" s="837">
        <f>IF(ISNUMBER(INDEX(Database!$Q$6:$Q$197, MATCH($B56&amp;"USD bn", Database!$AD$6:$AD$197, 0))), INDEX(Database!$Q$6:$Q$197, MATCH($B56&amp;"USD bn", Database!$AD$6:$AD$197, 0)), "")</f>
        <v>1.1716565626081807</v>
      </c>
      <c r="J56" s="837"/>
      <c r="K56" s="837">
        <f>IF(ISNUMBER(INDEX(Database!$U$6:$U$197, MATCH($B56&amp;"USD bn", Database!$AD$6:$AD$197, 0))), INDEX(Database!$U$6:$U$197, MATCH($B56&amp;"USD bn", Database!$AD$6:$AD$197, 0)), "")</f>
        <v>45.561463150513568</v>
      </c>
      <c r="L56" s="837" t="str">
        <f>IF(ISNUMBER(INDEX(Database!$W$6:$W$197, MATCH($B56&amp;"USD bn", Database!$AD$6:$AD$197, 0))), INDEX(Database!$W$6:$W$197, MATCH($B56&amp;"USD bn", Database!$AD$6:$AD$197, 0)), "")</f>
        <v/>
      </c>
      <c r="M56" s="817"/>
      <c r="N56" s="817"/>
      <c r="O56" s="835">
        <f>IF(ISNUMBER(INDEX(Database!$G$6:$G$197, MATCH($B56&amp;"% GDP", Database!$AD$6:$AD$197, 0))), INDEX(Database!$G$6:$G$197, MATCH($B56&amp;"% GDP", Database!$AD$6:$AD$197, 0)), "")</f>
        <v>7.9111095244692748</v>
      </c>
      <c r="P56" s="836">
        <f>IF(ISNUMBER(INDEX(Database!$H$6:$H$197, MATCH($B56&amp;"% GDP", Database!$AD$6:$AD$197, 0))), INDEX(Database!$H$6:$H$197, MATCH($B56&amp;"% GDP", Database!$AD$6:$AD$197, 0)), "")</f>
        <v>1.0226756617925596</v>
      </c>
      <c r="Q56" s="836">
        <f>IF(ISNUMBER(INDEX(Database!$J$6:$J$197, MATCH($B56&amp;"% GDP", Database!$AD$6:$AD$197, 0))), INDEX(Database!$J$6:$J$197, MATCH($B56&amp;"% GDP", Database!$AD$6:$AD$197, 0)), "")</f>
        <v>6.8884338626767159</v>
      </c>
      <c r="R56" s="836" t="str">
        <f>IF(ISNUMBER(INDEX(Database!$L$6:$L$197, MATCH($B56&amp;"% GDP", Database!$AD$6:$AD$197, 0))), INDEX(Database!$L$6:$L$197, MATCH($B56&amp;"% GDP", Database!$AD$6:$AD$197, 0)), "")</f>
        <v/>
      </c>
      <c r="S56" s="836"/>
      <c r="T56" s="835">
        <f>IF(ISNUMBER(INDEX(Database!$P$6:$P$197, MATCH($B56&amp;"% GDP", Database!$AD$6:$AD$197, 0))), INDEX(Database!$P$6:$P$197, MATCH($B56&amp;"% GDP", Database!$AD$6:$AD$197, 0)), "")</f>
        <v>6.2155277269910725</v>
      </c>
      <c r="U56" s="836">
        <f>IF(ISNUMBER(INDEX(Database!$Q$6:$Q$197, MATCH($B56&amp;"% GDP", Database!$AD$6:$AD$197, 0))), INDEX(Database!$Q$6:$Q$197, MATCH($B56&amp;"% GDP", Database!$AD$6:$AD$197, 0)), "")</f>
        <v>0.15583089457983315</v>
      </c>
      <c r="V56" s="836"/>
      <c r="W56" s="836">
        <f>IF(ISNUMBER(INDEX(Database!$U$6:$U$197, MATCH($B56&amp;"% GDP", Database!$AD$6:$AD$197, 0))), INDEX(Database!$U$6:$U$197, MATCH($B56&amp;"% GDP", Database!$AD$6:$AD$197, 0)), "")</f>
        <v>6.0596968324112392</v>
      </c>
      <c r="X56" s="836" t="str">
        <f>IF(ISNUMBER(INDEX(Database!$W$6:$W$197, MATCH($B56&amp;"% GDP", Database!$AD$6:$AD$197, 0))), INDEX(Database!$W$6:$W$197, MATCH($B56&amp;"% GDP", Database!$AD$6:$AD$197, 0)), "")</f>
        <v/>
      </c>
      <c r="AB56" s="563"/>
    </row>
    <row r="57" spans="2:28">
      <c r="B57" s="7" t="s">
        <v>184</v>
      </c>
      <c r="C57" s="831">
        <f>IF(ISNUMBER(INDEX(Database!$G$6:$G$197, MATCH($B57&amp;"USD bn", Database!$AD$6:$AD$197, 0))), INDEX(Database!$G$6:$G$197, MATCH($B57&amp;"USD bn", Database!$AD$6:$AD$197, 0)), "")</f>
        <v>93.92749702486816</v>
      </c>
      <c r="D57" s="832">
        <f>IF(ISNUMBER(INDEX(Database!$H$6:$H$197, MATCH($B57&amp;"USD bn", Database!$AD$6:$AD$197, 0))), INDEX(Database!$H$6:$H$197, MATCH($B57&amp;"USD bn", Database!$AD$6:$AD$197, 0)), "")</f>
        <v>18.94527886528325</v>
      </c>
      <c r="E57" s="832">
        <f>IF(ISNUMBER(INDEX(Database!$J$6:$J$197, MATCH($B57&amp;"USD bn", Database!$AD$6:$AD$197, 0))), INDEX(Database!$J$6:$J$197, MATCH($B57&amp;"USD bn", Database!$AD$6:$AD$197, 0)), "")</f>
        <v>74.982218159584903</v>
      </c>
      <c r="F57" s="833">
        <f>IF(ISNUMBER(INDEX(Database!$L$6:$L$197, MATCH($B57&amp;"USD bn", Database!$AD$6:$AD$197, 0))), INDEX(Database!$L$6:$L$197, MATCH($B57&amp;"USD bn", Database!$AD$6:$AD$197, 0)), "")</f>
        <v>13.124741382575744</v>
      </c>
      <c r="G57" s="832"/>
      <c r="H57" s="831">
        <f>IF(ISNUMBER(INDEX(Database!$P$6:$P$197, MATCH($B57&amp;"USD bn", Database!$AD$6:$AD$197, 0))), INDEX(Database!$P$6:$P$197, MATCH($B57&amp;"USD bn", Database!$AD$6:$AD$197, 0)), "")</f>
        <v>39.716608705533552</v>
      </c>
      <c r="I57" s="837" t="str">
        <f>IF(ISNUMBER(INDEX(Database!$Q$6:$Q$197, MATCH($B57&amp;"USD bn", Database!$AD$6:$AD$197, 0))), INDEX(Database!$Q$6:$Q$197, MATCH($B57&amp;"USD bn", Database!$AD$6:$AD$197, 0)), "")</f>
        <v/>
      </c>
      <c r="J57" s="837"/>
      <c r="K57" s="837">
        <f>IF(ISNUMBER(INDEX(Database!$U$6:$U$197, MATCH($B57&amp;"USD bn", Database!$AD$6:$AD$197, 0))), INDEX(Database!$U$6:$U$197, MATCH($B57&amp;"USD bn", Database!$AD$6:$AD$197, 0)), "")</f>
        <v>39.716608705533552</v>
      </c>
      <c r="L57" s="837" t="str">
        <f>IF(ISNUMBER(INDEX(Database!$W$6:$W$197, MATCH($B57&amp;"USD bn", Database!$AD$6:$AD$197, 0))), INDEX(Database!$W$6:$W$197, MATCH($B57&amp;"USD bn", Database!$AD$6:$AD$197, 0)), "")</f>
        <v/>
      </c>
      <c r="M57" s="817"/>
      <c r="N57" s="817"/>
      <c r="O57" s="835">
        <f>IF(ISNUMBER(INDEX(Database!$G$6:$G$197, MATCH($B57&amp;"% GDP", Database!$AD$6:$AD$197, 0))), INDEX(Database!$G$6:$G$197, MATCH($B57&amp;"% GDP", Database!$AD$6:$AD$197, 0)), "")</f>
        <v>10.2862785044276</v>
      </c>
      <c r="P57" s="836">
        <f>IF(ISNUMBER(INDEX(Database!$H$6:$H$197, MATCH($B57&amp;"% GDP", Database!$AD$6:$AD$197, 0))), INDEX(Database!$H$6:$H$197, MATCH($B57&amp;"% GDP", Database!$AD$6:$AD$197, 0)), "")</f>
        <v>2.0747536230072678</v>
      </c>
      <c r="Q57" s="836">
        <f>IF(ISNUMBER(INDEX(Database!$J$6:$J$197, MATCH($B57&amp;"% GDP", Database!$AD$6:$AD$197, 0))), INDEX(Database!$J$6:$J$197, MATCH($B57&amp;"% GDP", Database!$AD$6:$AD$197, 0)), "")</f>
        <v>8.2115248814203312</v>
      </c>
      <c r="R57" s="836">
        <f>IF(ISNUMBER(INDEX(Database!$L$6:$L$197, MATCH($B57&amp;"% GDP", Database!$AD$6:$AD$197, 0))), INDEX(Database!$L$6:$L$197, MATCH($B57&amp;"% GDP", Database!$AD$6:$AD$197, 0)), "")</f>
        <v>1.4373293171435892</v>
      </c>
      <c r="S57" s="836"/>
      <c r="T57" s="835">
        <f>IF(ISNUMBER(INDEX(Database!$P$6:$P$197, MATCH($B57&amp;"% GDP", Database!$AD$6:$AD$197, 0))), INDEX(Database!$P$6:$P$197, MATCH($B57&amp;"% GDP", Database!$AD$6:$AD$197, 0)), "")</f>
        <v>4.3494834988345135</v>
      </c>
      <c r="U57" s="836" t="str">
        <f>IF(ISNUMBER(INDEX(Database!$Q$6:$Q$197, MATCH($B57&amp;"% GDP", Database!$AD$6:$AD$197, 0))), INDEX(Database!$Q$6:$Q$197, MATCH($B57&amp;"% GDP", Database!$AD$6:$AD$197, 0)), "")</f>
        <v/>
      </c>
      <c r="V57" s="836"/>
      <c r="W57" s="836">
        <f>IF(ISNUMBER(INDEX(Database!$U$6:$U$197, MATCH($B57&amp;"% GDP", Database!$AD$6:$AD$197, 0))), INDEX(Database!$U$6:$U$197, MATCH($B57&amp;"% GDP", Database!$AD$6:$AD$197, 0)), "")</f>
        <v>4.3494834988345135</v>
      </c>
      <c r="X57" s="836" t="str">
        <f>IF(ISNUMBER(INDEX(Database!$W$6:$W$197, MATCH($B57&amp;"% GDP", Database!$AD$6:$AD$197, 0))), INDEX(Database!$W$6:$W$197, MATCH($B57&amp;"% GDP", Database!$AD$6:$AD$197, 0)), "")</f>
        <v/>
      </c>
      <c r="AB57" s="563"/>
    </row>
    <row r="58" spans="2:28">
      <c r="B58" s="838" t="s">
        <v>870</v>
      </c>
      <c r="C58" s="831"/>
      <c r="D58" s="832"/>
      <c r="E58" s="832"/>
      <c r="F58" s="833"/>
      <c r="G58" s="832"/>
      <c r="H58" s="831"/>
      <c r="I58" s="837" t="str">
        <f>IF(ISNUMBER(INDEX(Database!$Q$6:$Q$197, MATCH($B58&amp;"USD bn", Database!$AD$6:$AD$197, 0))), INDEX(Database!$Q$6:$Q$197, MATCH($B58&amp;"USD bn", Database!$AD$6:$AD$197, 0)), "")</f>
        <v/>
      </c>
      <c r="J58" s="837"/>
      <c r="K58" s="837" t="str">
        <f>IF(ISNUMBER(INDEX(Database!$U$6:$U$197, MATCH($B58&amp;"USD bn", Database!$AD$6:$AD$197, 0))), INDEX(Database!$U$6:$U$197, MATCH($B58&amp;"USD bn", Database!$AD$6:$AD$197, 0)), "")</f>
        <v/>
      </c>
      <c r="L58" s="837" t="str">
        <f>IF(ISNUMBER(INDEX(Database!$W$6:$W$197, MATCH($B58&amp;"USD bn", Database!$AD$6:$AD$197, 0))), INDEX(Database!$W$6:$W$197, MATCH($B58&amp;"USD bn", Database!$AD$6:$AD$197, 0)), "")</f>
        <v/>
      </c>
      <c r="M58" s="817"/>
      <c r="N58" s="817"/>
      <c r="O58" s="835" t="str">
        <f>IF(ISNUMBER(INDEX(Database!$G$6:$G$197, MATCH($B58&amp;"% GDP", Database!$AD$6:$AD$197, 0))), INDEX(Database!$G$6:$G$197, MATCH($B58&amp;"% GDP", Database!$AD$6:$AD$197, 0)), "")</f>
        <v/>
      </c>
      <c r="P58" s="836" t="str">
        <f>IF(ISNUMBER(INDEX(Database!$H$6:$H$197, MATCH($B58&amp;"% GDP", Database!$AD$6:$AD$197, 0))), INDEX(Database!$H$6:$H$197, MATCH($B58&amp;"% GDP", Database!$AD$6:$AD$197, 0)), "")</f>
        <v/>
      </c>
      <c r="Q58" s="836" t="str">
        <f>IF(ISNUMBER(INDEX(Database!$J$6:$J$197, MATCH($B58&amp;"% GDP", Database!$AD$6:$AD$197, 0))), INDEX(Database!$J$6:$J$197, MATCH($B58&amp;"% GDP", Database!$AD$6:$AD$197, 0)), "")</f>
        <v/>
      </c>
      <c r="R58" s="836" t="str">
        <f>IF(ISNUMBER(INDEX(Database!$L$6:$L$197, MATCH($B58&amp;"% GDP", Database!$AD$6:$AD$197, 0))), INDEX(Database!$L$6:$L$197, MATCH($B58&amp;"% GDP", Database!$AD$6:$AD$197, 0)), "")</f>
        <v/>
      </c>
      <c r="S58" s="836"/>
      <c r="T58" s="835" t="str">
        <f>IF(ISNUMBER(INDEX(Database!$P$6:$P$197, MATCH($B58&amp;"% GDP", Database!$AD$6:$AD$197, 0))), INDEX(Database!$P$6:$P$197, MATCH($B58&amp;"% GDP", Database!$AD$6:$AD$197, 0)), "")</f>
        <v/>
      </c>
      <c r="U58" s="836" t="str">
        <f>IF(ISNUMBER(INDEX(Database!$Q$6:$Q$197, MATCH($B58&amp;"% GDP", Database!$AD$6:$AD$197, 0))), INDEX(Database!$Q$6:$Q$197, MATCH($B58&amp;"% GDP", Database!$AD$6:$AD$197, 0)), "")</f>
        <v/>
      </c>
      <c r="V58" s="836"/>
      <c r="W58" s="836" t="str">
        <f>IF(ISNUMBER(INDEX(Database!$U$6:$U$197, MATCH($B58&amp;"% GDP", Database!$AD$6:$AD$197, 0))), INDEX(Database!$U$6:$U$197, MATCH($B58&amp;"% GDP", Database!$AD$6:$AD$197, 0)), "")</f>
        <v/>
      </c>
      <c r="X58" s="836" t="str">
        <f>IF(ISNUMBER(INDEX(Database!$W$6:$W$197, MATCH($B58&amp;"% GDP", Database!$AD$6:$AD$197, 0))), INDEX(Database!$W$6:$W$197, MATCH($B58&amp;"% GDP", Database!$AD$6:$AD$197, 0)), "")</f>
        <v/>
      </c>
      <c r="AB58" s="565"/>
    </row>
    <row r="59" spans="2:28">
      <c r="B59" s="764" t="s">
        <v>41</v>
      </c>
      <c r="C59" s="840">
        <f>IF(ISNUMBER(INDEX(Database!$G$6:$G$197, MATCH($B59&amp;"USD bn", Database!$AD$6:$AD$197, 0))), INDEX(Database!$G$6:$G$197, MATCH($B59&amp;"USD bn", Database!$AD$6:$AD$197, 0)), "")</f>
        <v>0.33382004491368428</v>
      </c>
      <c r="D59" s="837">
        <f>IF(ISNUMBER(INDEX(Database!$H$6:$H$197, MATCH($B59&amp;"USD bn", Database!$AD$6:$AD$197, 0))), INDEX(Database!$H$6:$H$197, MATCH($B59&amp;"USD bn", Database!$AD$6:$AD$197, 0)), "")</f>
        <v>0.16783217727704566</v>
      </c>
      <c r="E59" s="837">
        <f>IF(ISNUMBER(INDEX(Database!$J$6:$J$197, MATCH($B59&amp;"USD bn", Database!$AD$6:$AD$197, 0))), INDEX(Database!$J$6:$J$197, MATCH($B59&amp;"USD bn", Database!$AD$6:$AD$197, 0)), "")</f>
        <v>0.16598786763663859</v>
      </c>
      <c r="F59" s="833" t="str">
        <f>IF(ISNUMBER(INDEX(Database!$L$6:$L$197, MATCH($B59&amp;"USD bn", Database!$AD$6:$AD$197, 0))), INDEX(Database!$L$6:$L$197, MATCH($B59&amp;"USD bn", Database!$AD$6:$AD$197, 0)), "")</f>
        <v/>
      </c>
      <c r="G59" s="837"/>
      <c r="H59" s="840">
        <f>IF(ISNUMBER(INDEX(Database!$P$6:$P$197, MATCH($B59&amp;"USD bn", Database!$AD$6:$AD$197, 0))), INDEX(Database!$P$6:$P$197, MATCH($B59&amp;"USD bn", Database!$AD$6:$AD$197, 0)), "")</f>
        <v>0.23976025325292241</v>
      </c>
      <c r="I59" s="837" t="str">
        <f>IF(ISNUMBER(INDEX(Database!$Q$6:$Q$197, MATCH($B59&amp;"USD bn", Database!$AD$6:$AD$197, 0))), INDEX(Database!$Q$6:$Q$197, MATCH($B59&amp;"USD bn", Database!$AD$6:$AD$197, 0)), "")</f>
        <v/>
      </c>
      <c r="J59" s="837"/>
      <c r="K59" s="837">
        <f>IF(ISNUMBER(INDEX(Database!$U$6:$U$197, MATCH($B59&amp;"USD bn", Database!$AD$6:$AD$197, 0))), INDEX(Database!$U$6:$U$197, MATCH($B59&amp;"USD bn", Database!$AD$6:$AD$197, 0)), "")</f>
        <v>0.23976025325292241</v>
      </c>
      <c r="L59" s="837" t="str">
        <f>IF(ISNUMBER(INDEX(Database!$W$6:$W$197, MATCH($B59&amp;"USD bn", Database!$AD$6:$AD$197, 0))), INDEX(Database!$W$6:$W$197, MATCH($B59&amp;"USD bn", Database!$AD$6:$AD$197, 0)), "")</f>
        <v/>
      </c>
      <c r="M59" s="817"/>
      <c r="N59" s="817"/>
      <c r="O59" s="835">
        <f>IF(ISNUMBER(INDEX(Database!$G$6:$G$197, MATCH($B59&amp;"% GDP", Database!$AD$6:$AD$197, 0))), INDEX(Database!$G$6:$G$197, MATCH($B59&amp;"% GDP", Database!$AD$6:$AD$197, 0)), "")</f>
        <v>2.2512745821149296</v>
      </c>
      <c r="P59" s="836">
        <f>IF(ISNUMBER(INDEX(Database!$H$6:$H$197, MATCH($B59&amp;"% GDP", Database!$AD$6:$AD$197, 0))), INDEX(Database!$H$6:$H$197, MATCH($B59&amp;"% GDP", Database!$AD$6:$AD$197, 0)), "")</f>
        <v>1.1318562816157931</v>
      </c>
      <c r="Q59" s="836">
        <f>IF(ISNUMBER(INDEX(Database!$J$6:$J$197, MATCH($B59&amp;"% GDP", Database!$AD$6:$AD$197, 0))), INDEX(Database!$J$6:$J$197, MATCH($B59&amp;"% GDP", Database!$AD$6:$AD$197, 0)), "")</f>
        <v>1.119418300499136</v>
      </c>
      <c r="R59" s="836" t="str">
        <f>IF(ISNUMBER(INDEX(Database!$L$6:$L$197, MATCH($B59&amp;"% GDP", Database!$AD$6:$AD$197, 0))), INDEX(Database!$L$6:$L$197, MATCH($B59&amp;"% GDP", Database!$AD$6:$AD$197, 0)), "")</f>
        <v/>
      </c>
      <c r="S59" s="836"/>
      <c r="T59" s="835">
        <f>IF(ISNUMBER(INDEX(Database!$P$6:$P$197, MATCH($B59&amp;"% GDP", Database!$AD$6:$AD$197, 0))), INDEX(Database!$P$6:$P$197, MATCH($B59&amp;"% GDP", Database!$AD$6:$AD$197, 0)), "")</f>
        <v>1.6169375451654189</v>
      </c>
      <c r="U59" s="836" t="str">
        <f>IF(ISNUMBER(INDEX(Database!$Q$6:$Q$197, MATCH($B59&amp;"% GDP", Database!$AD$6:$AD$197, 0))), INDEX(Database!$Q$6:$Q$197, MATCH($B59&amp;"% GDP", Database!$AD$6:$AD$197, 0)), "")</f>
        <v/>
      </c>
      <c r="V59" s="836"/>
      <c r="W59" s="836">
        <f>IF(ISNUMBER(INDEX(Database!$U$6:$U$197, MATCH($B59&amp;"% GDP", Database!$AD$6:$AD$197, 0))), INDEX(Database!$U$6:$U$197, MATCH($B59&amp;"% GDP", Database!$AD$6:$AD$197, 0)), "")</f>
        <v>1.6169375451654189</v>
      </c>
      <c r="X59" s="836" t="str">
        <f>IF(ISNUMBER(INDEX(Database!$W$6:$W$197, MATCH($B59&amp;"% GDP", Database!$AD$6:$AD$197, 0))), INDEX(Database!$W$6:$W$197, MATCH($B59&amp;"% GDP", Database!$AD$6:$AD$197, 0)), "")</f>
        <v/>
      </c>
      <c r="AB59" s="562"/>
    </row>
    <row r="60" spans="2:28">
      <c r="B60" s="764" t="s">
        <v>1027</v>
      </c>
      <c r="C60" s="839">
        <v>0.56448952131791386</v>
      </c>
      <c r="D60" s="833">
        <v>0.23547277174975836</v>
      </c>
      <c r="E60" s="833">
        <v>0.32901674956815552</v>
      </c>
      <c r="F60" s="833" t="s">
        <v>452</v>
      </c>
      <c r="G60" s="837"/>
      <c r="H60" s="839" t="s">
        <v>452</v>
      </c>
      <c r="I60" s="833" t="s">
        <v>452</v>
      </c>
      <c r="J60" s="837"/>
      <c r="K60" s="833" t="s">
        <v>452</v>
      </c>
      <c r="L60" s="833" t="s">
        <v>452</v>
      </c>
      <c r="M60" s="817"/>
      <c r="N60" s="817"/>
      <c r="O60" s="839">
        <v>0.38399043139413336</v>
      </c>
      <c r="P60" s="833">
        <v>0.16017886566726702</v>
      </c>
      <c r="Q60" s="833">
        <v>0.22381156572686625</v>
      </c>
      <c r="R60" s="833" t="s">
        <v>452</v>
      </c>
      <c r="S60" s="832"/>
      <c r="T60" s="839" t="s">
        <v>452</v>
      </c>
      <c r="U60" s="833" t="s">
        <v>452</v>
      </c>
      <c r="V60" s="837"/>
      <c r="W60" s="833" t="s">
        <v>452</v>
      </c>
      <c r="X60" s="833" t="s">
        <v>452</v>
      </c>
      <c r="AB60" s="717"/>
    </row>
    <row r="61" spans="2:28">
      <c r="B61" s="764" t="s">
        <v>1028</v>
      </c>
      <c r="C61" s="839">
        <v>0.30338656061823427</v>
      </c>
      <c r="D61" s="833" t="s">
        <v>452</v>
      </c>
      <c r="E61" s="833" t="s">
        <v>452</v>
      </c>
      <c r="F61" s="833" t="s">
        <v>452</v>
      </c>
      <c r="G61" s="837"/>
      <c r="H61" s="839" t="s">
        <v>452</v>
      </c>
      <c r="I61" s="833" t="s">
        <v>452</v>
      </c>
      <c r="J61" s="837"/>
      <c r="K61" s="833" t="s">
        <v>452</v>
      </c>
      <c r="L61" s="833" t="s">
        <v>452</v>
      </c>
      <c r="M61" s="817"/>
      <c r="N61" s="817"/>
      <c r="O61" s="839">
        <v>0.49094274626459383</v>
      </c>
      <c r="P61" s="833" t="s">
        <v>452</v>
      </c>
      <c r="Q61" s="833" t="s">
        <v>452</v>
      </c>
      <c r="R61" s="833" t="s">
        <v>452</v>
      </c>
      <c r="S61" s="832"/>
      <c r="T61" s="839" t="s">
        <v>452</v>
      </c>
      <c r="U61" s="833" t="s">
        <v>452</v>
      </c>
      <c r="V61" s="837"/>
      <c r="W61" s="833" t="s">
        <v>452</v>
      </c>
      <c r="X61" s="833" t="s">
        <v>452</v>
      </c>
      <c r="AB61" s="717"/>
    </row>
    <row r="62" spans="2:28">
      <c r="B62" s="764" t="s">
        <v>1029</v>
      </c>
      <c r="C62" s="839" t="s">
        <v>452</v>
      </c>
      <c r="D62" s="833" t="s">
        <v>452</v>
      </c>
      <c r="E62" s="833" t="s">
        <v>452</v>
      </c>
      <c r="F62" s="833" t="s">
        <v>452</v>
      </c>
      <c r="G62" s="837"/>
      <c r="H62" s="839" t="s">
        <v>452</v>
      </c>
      <c r="I62" s="833" t="s">
        <v>452</v>
      </c>
      <c r="J62" s="837"/>
      <c r="K62" s="833" t="s">
        <v>452</v>
      </c>
      <c r="L62" s="833" t="s">
        <v>452</v>
      </c>
      <c r="M62" s="817"/>
      <c r="N62" s="817"/>
      <c r="O62" s="839" t="s">
        <v>452</v>
      </c>
      <c r="P62" s="833" t="s">
        <v>452</v>
      </c>
      <c r="Q62" s="833" t="s">
        <v>452</v>
      </c>
      <c r="R62" s="833" t="s">
        <v>452</v>
      </c>
      <c r="S62" s="832"/>
      <c r="T62" s="839" t="s">
        <v>452</v>
      </c>
      <c r="U62" s="833" t="s">
        <v>452</v>
      </c>
      <c r="V62" s="837"/>
      <c r="W62" s="833" t="s">
        <v>452</v>
      </c>
      <c r="X62" s="833" t="s">
        <v>452</v>
      </c>
      <c r="AB62" s="717"/>
    </row>
    <row r="63" spans="2:28">
      <c r="B63" s="764" t="s">
        <v>1030</v>
      </c>
      <c r="C63" s="839">
        <v>7.407407407407407E-2</v>
      </c>
      <c r="D63" s="833">
        <v>3.7037037037037034E-3</v>
      </c>
      <c r="E63" s="833">
        <v>7.0370370370370361E-2</v>
      </c>
      <c r="F63" s="833" t="s">
        <v>452</v>
      </c>
      <c r="G63" s="837"/>
      <c r="H63" s="839" t="s">
        <v>452</v>
      </c>
      <c r="I63" s="833">
        <v>0</v>
      </c>
      <c r="J63" s="837"/>
      <c r="K63" s="833" t="s">
        <v>452</v>
      </c>
      <c r="L63" s="833" t="s">
        <v>452</v>
      </c>
      <c r="M63" s="817"/>
      <c r="N63" s="817"/>
      <c r="O63" s="839">
        <v>3.6</v>
      </c>
      <c r="P63" s="833">
        <v>0.2</v>
      </c>
      <c r="Q63" s="833">
        <v>3.4</v>
      </c>
      <c r="R63" s="833">
        <v>1.7</v>
      </c>
      <c r="S63" s="832"/>
      <c r="T63" s="839" t="s">
        <v>452</v>
      </c>
      <c r="U63" s="833">
        <v>0</v>
      </c>
      <c r="V63" s="837"/>
      <c r="W63" s="833" t="s">
        <v>452</v>
      </c>
      <c r="X63" s="833" t="s">
        <v>452</v>
      </c>
      <c r="AB63" s="717"/>
    </row>
    <row r="64" spans="2:28">
      <c r="B64" s="764" t="s">
        <v>1031</v>
      </c>
      <c r="C64" s="839">
        <v>0.19763564716580781</v>
      </c>
      <c r="D64" s="833">
        <v>7.901384257855916E-2</v>
      </c>
      <c r="E64" s="833">
        <v>0.11862180458724865</v>
      </c>
      <c r="F64" s="833">
        <v>0</v>
      </c>
      <c r="G64" s="837"/>
      <c r="H64" s="839">
        <v>0.18450035364251793</v>
      </c>
      <c r="I64" s="833">
        <v>0.18450035364251793</v>
      </c>
      <c r="J64" s="837"/>
      <c r="K64" s="833">
        <v>0</v>
      </c>
      <c r="L64" s="833">
        <v>0</v>
      </c>
      <c r="M64" s="817"/>
      <c r="N64" s="817"/>
      <c r="O64" s="839">
        <v>1.5425079174288208</v>
      </c>
      <c r="P64" s="833">
        <v>0.61668772567962049</v>
      </c>
      <c r="Q64" s="833">
        <v>0.92582019174920016</v>
      </c>
      <c r="R64" s="833">
        <v>0</v>
      </c>
      <c r="S64" s="832"/>
      <c r="T64" s="839">
        <v>1.439989497558807</v>
      </c>
      <c r="U64" s="833">
        <v>1.439989497558807</v>
      </c>
      <c r="V64" s="837"/>
      <c r="W64" s="833">
        <v>0</v>
      </c>
      <c r="X64" s="833">
        <v>0</v>
      </c>
      <c r="AB64" s="717"/>
    </row>
    <row r="65" spans="2:28">
      <c r="B65" s="764" t="s">
        <v>1032</v>
      </c>
      <c r="C65" s="839">
        <v>0.22905027932960892</v>
      </c>
      <c r="D65" s="833">
        <v>8.9385474860335198E-2</v>
      </c>
      <c r="E65" s="833">
        <v>0.13966480446927373</v>
      </c>
      <c r="F65" s="833" t="s">
        <v>452</v>
      </c>
      <c r="G65" s="837"/>
      <c r="H65" s="839" t="s">
        <v>452</v>
      </c>
      <c r="I65" s="833" t="s">
        <v>452</v>
      </c>
      <c r="J65" s="837"/>
      <c r="K65" s="833" t="s">
        <v>452</v>
      </c>
      <c r="L65" s="833" t="s">
        <v>452</v>
      </c>
      <c r="M65" s="817"/>
      <c r="N65" s="817"/>
      <c r="O65" s="839">
        <v>9.4748153343323285</v>
      </c>
      <c r="P65" s="833">
        <v>3.6974889109589579</v>
      </c>
      <c r="Q65" s="833">
        <v>5.7773264233733714</v>
      </c>
      <c r="R65" s="833" t="s">
        <v>452</v>
      </c>
      <c r="S65" s="832"/>
      <c r="T65" s="839" t="s">
        <v>452</v>
      </c>
      <c r="U65" s="833" t="s">
        <v>452</v>
      </c>
      <c r="V65" s="837"/>
      <c r="W65" s="833" t="s">
        <v>452</v>
      </c>
      <c r="X65" s="833" t="s">
        <v>452</v>
      </c>
      <c r="AB65" s="717"/>
    </row>
    <row r="66" spans="2:28">
      <c r="B66" s="764" t="s">
        <v>1033</v>
      </c>
      <c r="C66" s="839">
        <v>1.9411764705882353</v>
      </c>
      <c r="D66" s="833">
        <v>0.21764705882352942</v>
      </c>
      <c r="E66" s="833">
        <v>1.7235294117647058</v>
      </c>
      <c r="F66" s="833" t="s">
        <v>452</v>
      </c>
      <c r="G66" s="837"/>
      <c r="H66" s="839">
        <v>0.96470588235294108</v>
      </c>
      <c r="I66" s="833">
        <v>0.6705882352941176</v>
      </c>
      <c r="J66" s="837"/>
      <c r="K66" s="833">
        <v>0.29411764705882354</v>
      </c>
      <c r="L66" s="833">
        <v>0</v>
      </c>
      <c r="M66" s="817"/>
      <c r="N66" s="817"/>
      <c r="O66" s="839">
        <v>4.6616362731568666</v>
      </c>
      <c r="P66" s="833">
        <v>0.52266830941455777</v>
      </c>
      <c r="Q66" s="833">
        <v>4.1389679637423082</v>
      </c>
      <c r="R66" s="833" t="s">
        <v>452</v>
      </c>
      <c r="S66" s="832"/>
      <c r="T66" s="839">
        <v>2.3166919660537153</v>
      </c>
      <c r="U66" s="833">
        <v>1.6103834398178265</v>
      </c>
      <c r="V66" s="837"/>
      <c r="W66" s="833">
        <v>0.70630852623588891</v>
      </c>
      <c r="X66" s="833">
        <v>0</v>
      </c>
      <c r="AB66" s="717"/>
    </row>
    <row r="67" spans="2:28">
      <c r="B67" s="764" t="s">
        <v>1034</v>
      </c>
      <c r="C67" s="839">
        <v>0.22800000000000001</v>
      </c>
      <c r="D67" s="833">
        <v>3.5000000000000003E-2</v>
      </c>
      <c r="E67" s="833">
        <v>0.193</v>
      </c>
      <c r="F67" s="833">
        <v>0.09</v>
      </c>
      <c r="G67" s="837"/>
      <c r="H67" s="839">
        <v>8.1000000000000003E-2</v>
      </c>
      <c r="I67" s="833">
        <v>8.1000000000000003E-2</v>
      </c>
      <c r="J67" s="837"/>
      <c r="K67" s="833" t="s">
        <v>452</v>
      </c>
      <c r="L67" s="833" t="s">
        <v>452</v>
      </c>
      <c r="M67" s="817"/>
      <c r="N67" s="817"/>
      <c r="O67" s="839">
        <v>2.02</v>
      </c>
      <c r="P67" s="833">
        <v>0.31</v>
      </c>
      <c r="Q67" s="833">
        <v>1.71</v>
      </c>
      <c r="R67" s="833">
        <v>0.8</v>
      </c>
      <c r="S67" s="832"/>
      <c r="T67" s="839" t="s">
        <v>452</v>
      </c>
      <c r="U67" s="833" t="s">
        <v>452</v>
      </c>
      <c r="V67" s="837"/>
      <c r="W67" s="833" t="s">
        <v>452</v>
      </c>
      <c r="X67" s="833" t="s">
        <v>452</v>
      </c>
      <c r="AB67" s="717"/>
    </row>
    <row r="68" spans="2:28">
      <c r="B68" s="764" t="s">
        <v>26</v>
      </c>
      <c r="C68" s="839">
        <v>1.9680851063829787</v>
      </c>
      <c r="D68" s="833">
        <v>0.47872340425531912</v>
      </c>
      <c r="E68" s="833">
        <v>1.4893617021276597</v>
      </c>
      <c r="F68" s="833">
        <v>0</v>
      </c>
      <c r="G68" s="837"/>
      <c r="H68" s="839">
        <v>0.26595744680851063</v>
      </c>
      <c r="I68" s="833">
        <v>0</v>
      </c>
      <c r="J68" s="837"/>
      <c r="K68" s="833">
        <v>0.26595744680851063</v>
      </c>
      <c r="L68" s="833">
        <v>0</v>
      </c>
      <c r="M68" s="817"/>
      <c r="N68" s="817"/>
      <c r="O68" s="839">
        <v>5.6809916761716019</v>
      </c>
      <c r="P68" s="833">
        <v>1.3818628401498489</v>
      </c>
      <c r="Q68" s="833">
        <v>4.2991288360217528</v>
      </c>
      <c r="R68" s="833">
        <v>0</v>
      </c>
      <c r="S68" s="832"/>
      <c r="T68" s="839">
        <v>0.76770157786102733</v>
      </c>
      <c r="U68" s="833">
        <v>0</v>
      </c>
      <c r="V68" s="837"/>
      <c r="W68" s="833">
        <v>0.76770157786102733</v>
      </c>
      <c r="X68" s="833">
        <v>0</v>
      </c>
      <c r="AB68" s="717"/>
    </row>
    <row r="69" spans="2:28">
      <c r="B69" s="764" t="s">
        <v>1035</v>
      </c>
      <c r="C69" s="839">
        <v>8.5000000000000006E-2</v>
      </c>
      <c r="D69" s="833">
        <v>0.02</v>
      </c>
      <c r="E69" s="833">
        <v>6.5000000000000002E-2</v>
      </c>
      <c r="F69" s="833">
        <v>6.5000000000000002E-2</v>
      </c>
      <c r="G69" s="837"/>
      <c r="H69" s="839">
        <v>0.14000000000000001</v>
      </c>
      <c r="I69" s="833">
        <v>0.04</v>
      </c>
      <c r="J69" s="837"/>
      <c r="K69" s="833">
        <v>0.1</v>
      </c>
      <c r="L69" s="833" t="s">
        <v>452</v>
      </c>
      <c r="M69" s="817"/>
      <c r="N69" s="817"/>
      <c r="O69" s="839">
        <v>1.8358026431863639</v>
      </c>
      <c r="P69" s="833">
        <v>0.4319535631026738</v>
      </c>
      <c r="Q69" s="833">
        <v>1.40384908008369</v>
      </c>
      <c r="R69" s="833">
        <v>1.40384908008369</v>
      </c>
      <c r="S69" s="832"/>
      <c r="T69" s="839">
        <v>3.023674941718717</v>
      </c>
      <c r="U69" s="833">
        <v>0.8639071262053476</v>
      </c>
      <c r="V69" s="837"/>
      <c r="W69" s="833">
        <v>2.1597678155133693</v>
      </c>
      <c r="X69" s="833" t="s">
        <v>452</v>
      </c>
      <c r="AB69" s="717"/>
    </row>
    <row r="70" spans="2:28">
      <c r="B70" s="764" t="s">
        <v>1036</v>
      </c>
      <c r="C70" s="839" t="s">
        <v>452</v>
      </c>
      <c r="D70" s="833">
        <v>0</v>
      </c>
      <c r="E70" s="833" t="s">
        <v>452</v>
      </c>
      <c r="F70" s="833" t="s">
        <v>452</v>
      </c>
      <c r="G70" s="837"/>
      <c r="H70" s="839" t="s">
        <v>452</v>
      </c>
      <c r="I70" s="833" t="s">
        <v>452</v>
      </c>
      <c r="J70" s="837"/>
      <c r="K70" s="833" t="s">
        <v>452</v>
      </c>
      <c r="L70" s="833" t="s">
        <v>452</v>
      </c>
      <c r="M70" s="817"/>
      <c r="N70" s="817"/>
      <c r="O70" s="839" t="s">
        <v>452</v>
      </c>
      <c r="P70" s="833">
        <v>0</v>
      </c>
      <c r="Q70" s="833" t="s">
        <v>452</v>
      </c>
      <c r="R70" s="833" t="s">
        <v>452</v>
      </c>
      <c r="S70" s="832"/>
      <c r="T70" s="839" t="s">
        <v>452</v>
      </c>
      <c r="U70" s="833" t="s">
        <v>452</v>
      </c>
      <c r="V70" s="837"/>
      <c r="W70" s="833" t="s">
        <v>452</v>
      </c>
      <c r="X70" s="833" t="s">
        <v>452</v>
      </c>
      <c r="AB70" s="717"/>
    </row>
    <row r="71" spans="2:28">
      <c r="B71" s="764" t="s">
        <v>1037</v>
      </c>
      <c r="C71" s="839">
        <v>0.01</v>
      </c>
      <c r="D71" s="833" t="s">
        <v>452</v>
      </c>
      <c r="E71" s="833" t="s">
        <v>452</v>
      </c>
      <c r="F71" s="833" t="s">
        <v>452</v>
      </c>
      <c r="G71" s="837"/>
      <c r="H71" s="839">
        <v>5.5E-2</v>
      </c>
      <c r="I71" s="833">
        <v>5.5E-2</v>
      </c>
      <c r="J71" s="837"/>
      <c r="K71" s="833" t="s">
        <v>452</v>
      </c>
      <c r="L71" s="833" t="s">
        <v>452</v>
      </c>
      <c r="M71" s="817"/>
      <c r="N71" s="817"/>
      <c r="O71" s="839">
        <v>0.66157188200799411</v>
      </c>
      <c r="P71" s="833" t="s">
        <v>452</v>
      </c>
      <c r="Q71" s="833" t="s">
        <v>452</v>
      </c>
      <c r="R71" s="833" t="s">
        <v>452</v>
      </c>
      <c r="S71" s="832"/>
      <c r="T71" s="839">
        <v>3.6386453510439676</v>
      </c>
      <c r="U71" s="833">
        <v>3.6386453510439676</v>
      </c>
      <c r="V71" s="837"/>
      <c r="W71" s="833" t="s">
        <v>452</v>
      </c>
      <c r="X71" s="833" t="s">
        <v>452</v>
      </c>
      <c r="AB71" s="717"/>
    </row>
    <row r="72" spans="2:28">
      <c r="B72" s="764" t="s">
        <v>1038</v>
      </c>
      <c r="C72" s="839">
        <v>1.1647230320699709</v>
      </c>
      <c r="D72" s="833">
        <v>0.49708454810495628</v>
      </c>
      <c r="E72" s="833">
        <v>0.66763848396501457</v>
      </c>
      <c r="F72" s="833">
        <v>0</v>
      </c>
      <c r="G72" s="837"/>
      <c r="H72" s="839">
        <v>5.0728862973760931</v>
      </c>
      <c r="I72" s="833">
        <v>0.23323615160349853</v>
      </c>
      <c r="J72" s="837"/>
      <c r="K72" s="833">
        <v>3.8192419825072883</v>
      </c>
      <c r="L72" s="833">
        <v>1.0204081632653061</v>
      </c>
      <c r="M72" s="817"/>
      <c r="N72" s="817"/>
      <c r="O72" s="839">
        <v>2.9888476663027164</v>
      </c>
      <c r="P72" s="833">
        <v>1.2755908062693695</v>
      </c>
      <c r="Q72" s="833">
        <v>1.7132568600333469</v>
      </c>
      <c r="R72" s="833">
        <v>0</v>
      </c>
      <c r="S72" s="832"/>
      <c r="T72" s="839">
        <v>13.017759547851632</v>
      </c>
      <c r="U72" s="833">
        <v>0.59851768036099451</v>
      </c>
      <c r="V72" s="837"/>
      <c r="W72" s="833">
        <v>9.8007270159112849</v>
      </c>
      <c r="X72" s="833">
        <v>2.6185148515793513</v>
      </c>
      <c r="AB72" s="717"/>
    </row>
    <row r="73" spans="2:28">
      <c r="B73" s="764" t="s">
        <v>1039</v>
      </c>
      <c r="C73" s="839">
        <v>0.96054163822223182</v>
      </c>
      <c r="D73" s="833" t="s">
        <v>452</v>
      </c>
      <c r="E73" s="833" t="s">
        <v>452</v>
      </c>
      <c r="F73" s="833" t="s">
        <v>452</v>
      </c>
      <c r="G73" s="837"/>
      <c r="H73" s="839" t="s">
        <v>452</v>
      </c>
      <c r="I73" s="833" t="s">
        <v>452</v>
      </c>
      <c r="J73" s="837"/>
      <c r="K73" s="833" t="s">
        <v>452</v>
      </c>
      <c r="L73" s="833" t="s">
        <v>452</v>
      </c>
      <c r="M73" s="817"/>
      <c r="N73" s="817"/>
      <c r="O73" s="839">
        <v>5.2732233278483216</v>
      </c>
      <c r="P73" s="833" t="s">
        <v>452</v>
      </c>
      <c r="Q73" s="833" t="s">
        <v>452</v>
      </c>
      <c r="R73" s="833" t="s">
        <v>452</v>
      </c>
      <c r="S73" s="832"/>
      <c r="T73" s="839" t="s">
        <v>452</v>
      </c>
      <c r="U73" s="833" t="s">
        <v>452</v>
      </c>
      <c r="V73" s="837"/>
      <c r="W73" s="833" t="s">
        <v>452</v>
      </c>
      <c r="X73" s="833" t="s">
        <v>452</v>
      </c>
      <c r="AB73" s="717"/>
    </row>
    <row r="74" spans="2:28">
      <c r="B74" s="764" t="s">
        <v>1040</v>
      </c>
      <c r="C74" s="839">
        <v>0.17676267382788977</v>
      </c>
      <c r="D74" s="833" t="s">
        <v>452</v>
      </c>
      <c r="E74" s="833" t="s">
        <v>452</v>
      </c>
      <c r="F74" s="833" t="s">
        <v>452</v>
      </c>
      <c r="G74" s="837"/>
      <c r="H74" s="839" t="s">
        <v>452</v>
      </c>
      <c r="I74" s="833" t="s">
        <v>452</v>
      </c>
      <c r="J74" s="837"/>
      <c r="K74" s="833" t="s">
        <v>452</v>
      </c>
      <c r="L74" s="833" t="s">
        <v>452</v>
      </c>
      <c r="M74" s="817"/>
      <c r="N74" s="817"/>
      <c r="O74" s="839">
        <v>1.120607166917954</v>
      </c>
      <c r="P74" s="833" t="s">
        <v>452</v>
      </c>
      <c r="Q74" s="833" t="s">
        <v>452</v>
      </c>
      <c r="R74" s="833" t="s">
        <v>452</v>
      </c>
      <c r="S74" s="832"/>
      <c r="T74" s="839" t="s">
        <v>452</v>
      </c>
      <c r="U74" s="833" t="s">
        <v>452</v>
      </c>
      <c r="V74" s="837"/>
      <c r="W74" s="833" t="s">
        <v>452</v>
      </c>
      <c r="X74" s="833" t="s">
        <v>452</v>
      </c>
      <c r="AB74" s="717"/>
    </row>
    <row r="75" spans="2:28">
      <c r="B75" s="764" t="s">
        <v>1041</v>
      </c>
      <c r="C75" s="839">
        <v>0.14333727581004346</v>
      </c>
      <c r="D75" s="833" t="s">
        <v>452</v>
      </c>
      <c r="E75" s="833" t="s">
        <v>452</v>
      </c>
      <c r="F75" s="833" t="s">
        <v>452</v>
      </c>
      <c r="G75" s="837"/>
      <c r="H75" s="839" t="s">
        <v>452</v>
      </c>
      <c r="I75" s="833" t="s">
        <v>452</v>
      </c>
      <c r="J75" s="837"/>
      <c r="K75" s="833" t="s">
        <v>452</v>
      </c>
      <c r="L75" s="833" t="s">
        <v>452</v>
      </c>
      <c r="M75" s="817"/>
      <c r="N75" s="817"/>
      <c r="O75" s="839">
        <v>1.3627058392949036</v>
      </c>
      <c r="P75" s="833" t="s">
        <v>452</v>
      </c>
      <c r="Q75" s="833" t="s">
        <v>452</v>
      </c>
      <c r="R75" s="833" t="s">
        <v>452</v>
      </c>
      <c r="S75" s="832"/>
      <c r="T75" s="839" t="s">
        <v>452</v>
      </c>
      <c r="U75" s="833" t="s">
        <v>452</v>
      </c>
      <c r="V75" s="837"/>
      <c r="W75" s="833" t="s">
        <v>452</v>
      </c>
      <c r="X75" s="833" t="s">
        <v>452</v>
      </c>
      <c r="AB75" s="717"/>
    </row>
    <row r="76" spans="2:28">
      <c r="B76" s="764" t="s">
        <v>27</v>
      </c>
      <c r="C76" s="840">
        <f>IF(ISNUMBER(INDEX(Database!$G$6:$G$197, MATCH($B76&amp;"USD bn", Database!$AD$6:$AD$197, 0))), INDEX(Database!$G$6:$G$197, MATCH($B76&amp;"USD bn", Database!$AD$6:$AD$197, 0)), "")</f>
        <v>3.6598885495522917</v>
      </c>
      <c r="D76" s="837">
        <f>IF(ISNUMBER(INDEX(Database!$H$6:$H$197, MATCH($B76&amp;"USD bn", Database!$AD$6:$AD$197, 0))), INDEX(Database!$H$6:$H$197, MATCH($B76&amp;"USD bn", Database!$AD$6:$AD$197, 0)), "")</f>
        <v>0.9949154937797603</v>
      </c>
      <c r="E76" s="837">
        <f>IF(ISNUMBER(INDEX(Database!$J$6:$J$197, MATCH($B76&amp;"USD bn", Database!$AD$6:$AD$197, 0))), INDEX(Database!$J$6:$J$197, MATCH($B76&amp;"USD bn", Database!$AD$6:$AD$197, 0)), "")</f>
        <v>2.6649730557725313</v>
      </c>
      <c r="F76" s="833">
        <f>IF(ISNUMBER(INDEX(Database!$L$6:$L$197, MATCH($B76&amp;"USD bn", Database!$AD$6:$AD$197, 0))), INDEX(Database!$L$6:$L$197, MATCH($B76&amp;"USD bn", Database!$AD$6:$AD$197, 0)), "")</f>
        <v>0.35011688930666052</v>
      </c>
      <c r="G76" s="837"/>
      <c r="H76" s="840">
        <f>IF(ISNUMBER(INDEX(Database!$P$6:$P$197, MATCH($B76&amp;"USD bn", Database!$AD$6:$AD$197, 0))), INDEX(Database!$P$6:$P$197, MATCH($B76&amp;"USD bn", Database!$AD$6:$AD$197, 0)), "")</f>
        <v>2.6970671039589753</v>
      </c>
      <c r="I76" s="837">
        <f>IF(ISNUMBER(INDEX(Database!$Q$6:$Q$197, MATCH($B76&amp;"USD bn", Database!$AD$6:$AD$197, 0))), INDEX(Database!$Q$6:$Q$197, MATCH($B76&amp;"USD bn", Database!$AD$6:$AD$197, 0)), "")</f>
        <v>0.94648265742567239</v>
      </c>
      <c r="J76" s="837"/>
      <c r="K76" s="837" t="str">
        <f>IF(ISNUMBER(INDEX(Database!$U$6:$U$197, MATCH($B76&amp;"USD bn", Database!$AD$6:$AD$197, 0))), INDEX(Database!$U$6:$U$197, MATCH($B76&amp;"USD bn", Database!$AD$6:$AD$197, 0)), "")</f>
        <v/>
      </c>
      <c r="L76" s="837">
        <f>IF(ISNUMBER(INDEX(Database!$W$6:$W$197, MATCH($B76&amp;"USD bn", Database!$AD$6:$AD$197, 0))), INDEX(Database!$W$6:$W$197, MATCH($B76&amp;"USD bn", Database!$AD$6:$AD$197, 0)), "")</f>
        <v>1.7505844465333027</v>
      </c>
      <c r="M76" s="817"/>
      <c r="N76" s="817"/>
      <c r="O76" s="835">
        <f>IF(ISNUMBER(INDEX(Database!$G$6:$G$197, MATCH($B76&amp;"% GDP", Database!$AD$6:$AD$197, 0))), INDEX(Database!$G$6:$G$197, MATCH($B76&amp;"% GDP", Database!$AD$6:$AD$197, 0)), "")</f>
        <v>5.2881375195675631</v>
      </c>
      <c r="P76" s="836">
        <f>IF(ISNUMBER(INDEX(Database!$H$6:$H$197, MATCH($B76&amp;"% GDP", Database!$AD$6:$AD$197, 0))), INDEX(Database!$H$6:$H$197, MATCH($B76&amp;"% GDP", Database!$AD$6:$AD$197, 0)), "")</f>
        <v>1.4375437612982611</v>
      </c>
      <c r="Q76" s="836">
        <f>IF(ISNUMBER(INDEX(Database!$J$6:$J$197, MATCH($B76&amp;"% GDP", Database!$AD$6:$AD$197, 0))), INDEX(Database!$J$6:$J$197, MATCH($B76&amp;"% GDP", Database!$AD$6:$AD$197, 0)), "")</f>
        <v>3.8505937582693015</v>
      </c>
      <c r="R76" s="836">
        <f>IF(ISNUMBER(INDEX(Database!$L$6:$L$197, MATCH($B76&amp;"% GDP", Database!$AD$6:$AD$197, 0))), INDEX(Database!$L$6:$L$197, MATCH($B76&amp;"% GDP", Database!$AD$6:$AD$197, 0)), "")</f>
        <v>0.50588050250965211</v>
      </c>
      <c r="S76" s="836"/>
      <c r="T76" s="835">
        <f>IF(ISNUMBER(INDEX(Database!$P$6:$P$197, MATCH($B76&amp;"% GDP", Database!$AD$6:$AD$197, 0))), INDEX(Database!$P$6:$P$197, MATCH($B76&amp;"% GDP", Database!$AD$6:$AD$197, 0)), "")</f>
        <v>3.8969661376660198</v>
      </c>
      <c r="U76" s="836">
        <f>IF(ISNUMBER(INDEX(Database!$Q$6:$Q$197, MATCH($B76&amp;"% GDP", Database!$AD$6:$AD$197, 0))), INDEX(Database!$Q$6:$Q$197, MATCH($B76&amp;"% GDP", Database!$AD$6:$AD$197, 0)), "")</f>
        <v>1.3675636251177596</v>
      </c>
      <c r="V76" s="836"/>
      <c r="W76" s="836" t="str">
        <f>IF(ISNUMBER(INDEX(Database!$U$6:$U$197, MATCH($B76&amp;"% GDP", Database!$AD$6:$AD$197, 0))), INDEX(Database!$U$6:$U$197, MATCH($B76&amp;"% GDP", Database!$AD$6:$AD$197, 0)), "")</f>
        <v/>
      </c>
      <c r="X76" s="836">
        <f>IF(ISNUMBER(INDEX(Database!$W$6:$W$197, MATCH($B76&amp;"% GDP", Database!$AD$6:$AD$197, 0))), INDEX(Database!$W$6:$W$197, MATCH($B76&amp;"% GDP", Database!$AD$6:$AD$197, 0)), "")</f>
        <v>2.5294025125482604</v>
      </c>
      <c r="AB76" s="562"/>
    </row>
    <row r="77" spans="2:28">
      <c r="B77" s="764" t="s">
        <v>1042</v>
      </c>
      <c r="C77" s="839">
        <v>2.9080253433243067E-2</v>
      </c>
      <c r="D77" s="833">
        <v>5.0839603904271101E-3</v>
      </c>
      <c r="E77" s="833">
        <v>2.3996293042815958E-2</v>
      </c>
      <c r="F77" s="833" t="s">
        <v>452</v>
      </c>
      <c r="G77" s="837"/>
      <c r="H77" s="839">
        <v>3.0503762342562659E-2</v>
      </c>
      <c r="I77" s="833">
        <v>0</v>
      </c>
      <c r="J77" s="837"/>
      <c r="K77" s="833">
        <v>3.0503762342562659E-2</v>
      </c>
      <c r="L77" s="833" t="s">
        <v>452</v>
      </c>
      <c r="M77" s="817"/>
      <c r="N77" s="817"/>
      <c r="O77" s="839">
        <v>1.5551384534805532</v>
      </c>
      <c r="P77" s="833">
        <v>0.27187735200708979</v>
      </c>
      <c r="Q77" s="833">
        <v>1.2832611014734636</v>
      </c>
      <c r="R77" s="833" t="s">
        <v>452</v>
      </c>
      <c r="S77" s="832"/>
      <c r="T77" s="839">
        <v>1.6312641120425384</v>
      </c>
      <c r="U77" s="833">
        <v>0</v>
      </c>
      <c r="V77" s="837"/>
      <c r="W77" s="833">
        <v>1.6312641120425384</v>
      </c>
      <c r="X77" s="833" t="s">
        <v>452</v>
      </c>
      <c r="AB77" s="717"/>
    </row>
    <row r="78" spans="2:28">
      <c r="B78" s="764" t="s">
        <v>42</v>
      </c>
      <c r="C78" s="840">
        <f>IF(ISNUMBER(INDEX(Database!$G$6:$G$197, MATCH($B78&amp;"USD bn", Database!$AD$6:$AD$197, 0))), INDEX(Database!$G$6:$G$197, MATCH($B78&amp;"USD bn", Database!$AD$6:$AD$197, 0)), "")</f>
        <v>32.063993334728984</v>
      </c>
      <c r="D78" s="837">
        <f>IF(ISNUMBER(INDEX(Database!$H$6:$H$197, MATCH($B78&amp;"USD bn", Database!$AD$6:$AD$197, 0))), INDEX(Database!$H$6:$H$197, MATCH($B78&amp;"USD bn", Database!$AD$6:$AD$197, 0)), "")</f>
        <v>1.5165334699489497</v>
      </c>
      <c r="E78" s="837">
        <f>IF(ISNUMBER(INDEX(Database!$J$6:$J$197, MATCH($B78&amp;"USD bn", Database!$AD$6:$AD$197, 0))), INDEX(Database!$J$6:$J$197, MATCH($B78&amp;"USD bn", Database!$AD$6:$AD$197, 0)), "")</f>
        <v>30.547459864780031</v>
      </c>
      <c r="F78" s="833">
        <f>IF(ISNUMBER(INDEX(Database!$L$6:$L$197, MATCH($B78&amp;"USD bn", Database!$AD$6:$AD$197, 0))), INDEX(Database!$L$6:$L$197, MATCH($B78&amp;"USD bn", Database!$AD$6:$AD$197, 0)), "")</f>
        <v>4.0446076631681755</v>
      </c>
      <c r="G78" s="837"/>
      <c r="H78" s="840">
        <f>IF(ISNUMBER(INDEX(Database!$P$6:$P$197, MATCH($B78&amp;"USD bn", Database!$AD$6:$AD$197, 0))), INDEX(Database!$P$6:$P$197, MATCH($B78&amp;"USD bn", Database!$AD$6:$AD$197, 0)), "")</f>
        <v>6.3189963380984064</v>
      </c>
      <c r="I78" s="837">
        <f>IF(ISNUMBER(INDEX(Database!$Q$6:$Q$197, MATCH($B78&amp;"USD bn", Database!$AD$6:$AD$197, 0))), INDEX(Database!$Q$6:$Q$197, MATCH($B78&amp;"USD bn", Database!$AD$6:$AD$197, 0)), "")</f>
        <v>3.2859281358385646</v>
      </c>
      <c r="J78" s="837"/>
      <c r="K78" s="837" t="str">
        <f>IF(ISNUMBER(INDEX(Database!$U$6:$U$197, MATCH($B78&amp;"USD bn", Database!$AD$6:$AD$197, 0))), INDEX(Database!$U$6:$U$197, MATCH($B78&amp;"USD bn", Database!$AD$6:$AD$197, 0)), "")</f>
        <v/>
      </c>
      <c r="L78" s="837">
        <f>IF(ISNUMBER(INDEX(Database!$W$6:$W$197, MATCH($B78&amp;"USD bn", Database!$AD$6:$AD$197, 0))), INDEX(Database!$W$6:$W$197, MATCH($B78&amp;"USD bn", Database!$AD$6:$AD$197, 0)), "")</f>
        <v>3.0330682022598419</v>
      </c>
      <c r="M78" s="817"/>
      <c r="N78" s="817"/>
      <c r="O78" s="835">
        <f>IF(ISNUMBER(INDEX(Database!$G$6:$G$197, MATCH($B78&amp;"% GDP", Database!$AD$6:$AD$197, 0))), INDEX(Database!$G$6:$G$197, MATCH($B78&amp;"% GDP", Database!$AD$6:$AD$197, 0)), "")</f>
        <v>12.682470249573225</v>
      </c>
      <c r="P78" s="836">
        <f>IF(ISNUMBER(INDEX(Database!$H$6:$H$197, MATCH($B78&amp;"% GDP", Database!$AD$6:$AD$197, 0))), INDEX(Database!$H$6:$H$197, MATCH($B78&amp;"% GDP", Database!$AD$6:$AD$197, 0)), "")</f>
        <v>0.59984389387573989</v>
      </c>
      <c r="Q78" s="836">
        <f>IF(ISNUMBER(INDEX(Database!$J$6:$J$197, MATCH($B78&amp;"% GDP", Database!$AD$6:$AD$197, 0))), INDEX(Database!$J$6:$J$197, MATCH($B78&amp;"% GDP", Database!$AD$6:$AD$197, 0)), "")</f>
        <v>12.082626355697483</v>
      </c>
      <c r="R78" s="836">
        <f>IF(ISNUMBER(INDEX(Database!$L$6:$L$197, MATCH($B78&amp;"% GDP", Database!$AD$6:$AD$197, 0))), INDEX(Database!$L$6:$L$197, MATCH($B78&amp;"% GDP", Database!$AD$6:$AD$197, 0)), "")</f>
        <v>1.5997887669146695</v>
      </c>
      <c r="S78" s="836"/>
      <c r="T78" s="835">
        <f>IF(ISNUMBER(INDEX(Database!$P$6:$P$197, MATCH($B78&amp;"% GDP", Database!$AD$6:$AD$197, 0))), INDEX(Database!$P$6:$P$197, MATCH($B78&amp;"% GDP", Database!$AD$6:$AD$197, 0)), "")</f>
        <v>2.4993918327164151</v>
      </c>
      <c r="U78" s="836">
        <f>IF(ISNUMBER(INDEX(Database!$Q$6:$Q$197, MATCH($B78&amp;"% GDP", Database!$AD$6:$AD$197, 0))), INDEX(Database!$Q$6:$Q$197, MATCH($B78&amp;"% GDP", Database!$AD$6:$AD$197, 0)), "")</f>
        <v>1.2997035456550827</v>
      </c>
      <c r="V78" s="836"/>
      <c r="W78" s="836" t="str">
        <f>IF(ISNUMBER(INDEX(Database!$U$6:$U$197, MATCH($B78&amp;"% GDP", Database!$AD$6:$AD$197, 0))), INDEX(Database!$U$6:$U$197, MATCH($B78&amp;"% GDP", Database!$AD$6:$AD$197, 0)), "")</f>
        <v/>
      </c>
      <c r="X78" s="836">
        <f>IF(ISNUMBER(INDEX(Database!$W$6:$W$197, MATCH($B78&amp;"% GDP", Database!$AD$6:$AD$197, 0))), INDEX(Database!$W$6:$W$197, MATCH($B78&amp;"% GDP", Database!$AD$6:$AD$197, 0)), "")</f>
        <v>1.1996882870613323</v>
      </c>
      <c r="AB78" s="562"/>
    </row>
    <row r="79" spans="2:28">
      <c r="B79" s="764" t="s">
        <v>34</v>
      </c>
      <c r="C79" s="840">
        <f>IF(ISNUMBER(INDEX(Database!$G$6:$G$197, MATCH($B79&amp;"USD bn", Database!$AD$6:$AD$197, 0))), INDEX(Database!$G$6:$G$197, MATCH($B79&amp;"USD bn", Database!$AD$6:$AD$197, 0)), "")</f>
        <v>12.537379304867349</v>
      </c>
      <c r="D79" s="837">
        <f>IF(ISNUMBER(INDEX(Database!$H$6:$H$197, MATCH($B79&amp;"USD bn", Database!$AD$6:$AD$197, 0))), INDEX(Database!$H$6:$H$197, MATCH($B79&amp;"USD bn", Database!$AD$6:$AD$197, 0)), "")</f>
        <v>3.8751505833461795</v>
      </c>
      <c r="E79" s="837">
        <f>IF(ISNUMBER(INDEX(Database!$J$6:$J$197, MATCH($B79&amp;"USD bn", Database!$AD$6:$AD$197, 0))), INDEX(Database!$J$6:$J$197, MATCH($B79&amp;"USD bn", Database!$AD$6:$AD$197, 0)), "")</f>
        <v>8.6622287215211689</v>
      </c>
      <c r="F79" s="833">
        <f>IF(ISNUMBER(INDEX(Database!$L$6:$L$197, MATCH($B79&amp;"USD bn", Database!$AD$6:$AD$197, 0))), INDEX(Database!$L$6:$L$197, MATCH($B79&amp;"USD bn", Database!$AD$6:$AD$197, 0)), "")</f>
        <v>0.4819569618750838</v>
      </c>
      <c r="G79" s="837"/>
      <c r="H79" s="840">
        <f>IF(ISNUMBER(INDEX(Database!$P$6:$P$197, MATCH($B79&amp;"USD bn", Database!$AD$6:$AD$197, 0))), INDEX(Database!$P$6:$P$197, MATCH($B79&amp;"USD bn", Database!$AD$6:$AD$197, 0)), "")</f>
        <v>14.618458635750434</v>
      </c>
      <c r="I79" s="837">
        <f>IF(ISNUMBER(INDEX(Database!$Q$6:$Q$197, MATCH($B79&amp;"USD bn", Database!$AD$6:$AD$197, 0))), INDEX(Database!$Q$6:$Q$197, MATCH($B79&amp;"USD bn", Database!$AD$6:$AD$197, 0)), "")</f>
        <v>7.6937118380227556</v>
      </c>
      <c r="J79" s="837"/>
      <c r="K79" s="837">
        <f>IF(ISNUMBER(INDEX(Database!$U$6:$U$197, MATCH($B79&amp;"USD bn", Database!$AD$6:$AD$197, 0))), INDEX(Database!$U$6:$U$197, MATCH($B79&amp;"USD bn", Database!$AD$6:$AD$197, 0)), "")</f>
        <v>6.9247467977276784</v>
      </c>
      <c r="L79" s="837" t="str">
        <f>IF(ISNUMBER(INDEX(Database!$W$6:$W$197, MATCH($B79&amp;"USD bn", Database!$AD$6:$AD$197, 0))), INDEX(Database!$W$6:$W$197, MATCH($B79&amp;"USD bn", Database!$AD$6:$AD$197, 0)), "")</f>
        <v/>
      </c>
      <c r="M79" s="817"/>
      <c r="N79" s="817"/>
      <c r="O79" s="835">
        <f>IF(ISNUMBER(INDEX(Database!$G$6:$G$197, MATCH($B79&amp;"% GDP", Database!$AD$6:$AD$197, 0))), INDEX(Database!$G$6:$G$197, MATCH($B79&amp;"% GDP", Database!$AD$6:$AD$197, 0)), "")</f>
        <v>4.6169047873067024</v>
      </c>
      <c r="P79" s="836">
        <f>IF(ISNUMBER(INDEX(Database!$H$6:$H$197, MATCH($B79&amp;"% GDP", Database!$AD$6:$AD$197, 0))), INDEX(Database!$H$6:$H$197, MATCH($B79&amp;"% GDP", Database!$AD$6:$AD$197, 0)), "")</f>
        <v>1.4270287948327041</v>
      </c>
      <c r="Q79" s="836">
        <f>IF(ISNUMBER(INDEX(Database!$J$6:$J$197, MATCH($B79&amp;"% GDP", Database!$AD$6:$AD$197, 0))), INDEX(Database!$J$6:$J$197, MATCH($B79&amp;"% GDP", Database!$AD$6:$AD$197, 0)), "")</f>
        <v>3.1898759924739983</v>
      </c>
      <c r="R79" s="836">
        <f>IF(ISNUMBER(INDEX(Database!$L$6:$L$197, MATCH($B79&amp;"% GDP", Database!$AD$6:$AD$197, 0))), INDEX(Database!$L$6:$L$197, MATCH($B79&amp;"% GDP", Database!$AD$6:$AD$197, 0)), "")</f>
        <v>0.17748122238696293</v>
      </c>
      <c r="S79" s="836"/>
      <c r="T79" s="835">
        <f>IF(ISNUMBER(INDEX(Database!$P$6:$P$197, MATCH($B79&amp;"% GDP", Database!$AD$6:$AD$197, 0))), INDEX(Database!$P$6:$P$197, MATCH($B79&amp;"% GDP", Database!$AD$6:$AD$197, 0)), "")</f>
        <v>5.3832647172315324</v>
      </c>
      <c r="U79" s="836">
        <f>IF(ISNUMBER(INDEX(Database!$Q$6:$Q$197, MATCH($B79&amp;"% GDP", Database!$AD$6:$AD$197, 0))), INDEX(Database!$Q$6:$Q$197, MATCH($B79&amp;"% GDP", Database!$AD$6:$AD$197, 0)), "")</f>
        <v>2.8332185023177257</v>
      </c>
      <c r="V79" s="836"/>
      <c r="W79" s="836">
        <f>IF(ISNUMBER(INDEX(Database!$U$6:$U$197, MATCH($B79&amp;"% GDP", Database!$AD$6:$AD$197, 0))), INDEX(Database!$U$6:$U$197, MATCH($B79&amp;"% GDP", Database!$AD$6:$AD$197, 0)), "")</f>
        <v>2.5500462149138068</v>
      </c>
      <c r="X79" s="836" t="str">
        <f>IF(ISNUMBER(INDEX(Database!$W$6:$W$197, MATCH($B79&amp;"% GDP", Database!$AD$6:$AD$197, 0))), INDEX(Database!$W$6:$W$197, MATCH($B79&amp;"% GDP", Database!$AD$6:$AD$197, 0)), "")</f>
        <v/>
      </c>
      <c r="AB79" s="562"/>
    </row>
    <row r="80" spans="2:28">
      <c r="B80" s="764" t="s">
        <v>1043</v>
      </c>
      <c r="C80" s="839">
        <v>0.85922642158120055</v>
      </c>
      <c r="D80" s="833">
        <v>0.19828302036489243</v>
      </c>
      <c r="E80" s="833">
        <v>0.66094340121630812</v>
      </c>
      <c r="F80" s="833">
        <v>0.4</v>
      </c>
      <c r="G80" s="837"/>
      <c r="H80" s="839" t="s">
        <v>452</v>
      </c>
      <c r="I80" s="833" t="s">
        <v>452</v>
      </c>
      <c r="J80" s="837"/>
      <c r="K80" s="833" t="s">
        <v>452</v>
      </c>
      <c r="L80" s="833" t="s">
        <v>452</v>
      </c>
      <c r="M80" s="817"/>
      <c r="N80" s="817"/>
      <c r="O80" s="839">
        <v>1.429352585851031</v>
      </c>
      <c r="P80" s="833">
        <v>0.32985059673485329</v>
      </c>
      <c r="Q80" s="833">
        <v>1.0995019891161777</v>
      </c>
      <c r="R80" s="833">
        <v>0.68</v>
      </c>
      <c r="S80" s="832"/>
      <c r="T80" s="839" t="s">
        <v>452</v>
      </c>
      <c r="U80" s="833" t="s">
        <v>452</v>
      </c>
      <c r="V80" s="837"/>
      <c r="W80" s="833" t="s">
        <v>452</v>
      </c>
      <c r="X80" s="833" t="s">
        <v>452</v>
      </c>
      <c r="AB80" s="717"/>
    </row>
    <row r="81" spans="2:28">
      <c r="B81" s="764" t="s">
        <v>1044</v>
      </c>
      <c r="C81" s="839">
        <v>2.8733343096446338</v>
      </c>
      <c r="D81" s="833">
        <v>7.5614060780121936E-2</v>
      </c>
      <c r="E81" s="833">
        <v>2.7977202488645121</v>
      </c>
      <c r="F81" s="833" t="s">
        <v>452</v>
      </c>
      <c r="G81" s="837"/>
      <c r="H81" s="839" t="s">
        <v>452</v>
      </c>
      <c r="I81" s="833" t="s">
        <v>452</v>
      </c>
      <c r="J81" s="837"/>
      <c r="K81" s="833" t="s">
        <v>452</v>
      </c>
      <c r="L81" s="833" t="s">
        <v>452</v>
      </c>
      <c r="M81" s="817"/>
      <c r="N81" s="817"/>
      <c r="O81" s="839">
        <v>5.134343921471558</v>
      </c>
      <c r="P81" s="833">
        <v>0.13511431372293575</v>
      </c>
      <c r="Q81" s="833">
        <v>4.9992296077486227</v>
      </c>
      <c r="R81" s="833" t="s">
        <v>452</v>
      </c>
      <c r="S81" s="832"/>
      <c r="T81" s="839" t="s">
        <v>452</v>
      </c>
      <c r="U81" s="833" t="s">
        <v>452</v>
      </c>
      <c r="V81" s="837"/>
      <c r="W81" s="833" t="s">
        <v>452</v>
      </c>
      <c r="X81" s="833" t="s">
        <v>452</v>
      </c>
      <c r="AB81" s="717"/>
    </row>
    <row r="82" spans="2:28">
      <c r="B82" s="764" t="s">
        <v>1045</v>
      </c>
      <c r="C82" s="839">
        <v>0.29259259259259257</v>
      </c>
      <c r="D82" s="833">
        <v>0.2185185185185185</v>
      </c>
      <c r="E82" s="833">
        <v>7.4074074074074098E-2</v>
      </c>
      <c r="F82" s="833" t="s">
        <v>452</v>
      </c>
      <c r="G82" s="837"/>
      <c r="H82" s="839">
        <v>6.6666666666666666E-2</v>
      </c>
      <c r="I82" s="833">
        <v>6.6666666666666666E-2</v>
      </c>
      <c r="J82" s="837"/>
      <c r="K82" s="833" t="s">
        <v>452</v>
      </c>
      <c r="L82" s="833" t="s">
        <v>452</v>
      </c>
      <c r="M82" s="817"/>
      <c r="N82" s="817"/>
      <c r="O82" s="839">
        <v>53.656449301447374</v>
      </c>
      <c r="P82" s="833">
        <v>40.072538085891068</v>
      </c>
      <c r="Q82" s="833">
        <v>13.583911215556299</v>
      </c>
      <c r="R82" s="833" t="s">
        <v>452</v>
      </c>
      <c r="S82" s="832"/>
      <c r="T82" s="839">
        <v>12.225520094000666</v>
      </c>
      <c r="U82" s="833">
        <v>12.225520094000666</v>
      </c>
      <c r="V82" s="837"/>
      <c r="W82" s="833" t="s">
        <v>452</v>
      </c>
      <c r="X82" s="833" t="s">
        <v>452</v>
      </c>
      <c r="AB82" s="717"/>
    </row>
    <row r="83" spans="2:28">
      <c r="B83" s="764" t="s">
        <v>1046</v>
      </c>
      <c r="C83" s="839">
        <v>0.68778700166240891</v>
      </c>
      <c r="D83" s="833">
        <v>0.21162676974227967</v>
      </c>
      <c r="E83" s="833">
        <v>0.4761602319201293</v>
      </c>
      <c r="F83" s="833" t="s">
        <v>452</v>
      </c>
      <c r="G83" s="837"/>
      <c r="H83" s="839" t="s">
        <v>452</v>
      </c>
      <c r="I83" s="833" t="s">
        <v>452</v>
      </c>
      <c r="J83" s="837"/>
      <c r="K83" s="833" t="s">
        <v>452</v>
      </c>
      <c r="L83" s="833" t="s">
        <v>452</v>
      </c>
      <c r="M83" s="817"/>
      <c r="N83" s="817"/>
      <c r="O83" s="839">
        <v>0.90555267104641524</v>
      </c>
      <c r="P83" s="833">
        <v>0.27863159109120467</v>
      </c>
      <c r="Q83" s="833">
        <v>0.62692107995521063</v>
      </c>
      <c r="R83" s="833" t="s">
        <v>452</v>
      </c>
      <c r="S83" s="832"/>
      <c r="T83" s="839" t="s">
        <v>452</v>
      </c>
      <c r="U83" s="833" t="s">
        <v>452</v>
      </c>
      <c r="V83" s="837"/>
      <c r="W83" s="833" t="s">
        <v>452</v>
      </c>
      <c r="X83" s="833" t="s">
        <v>452</v>
      </c>
      <c r="AB83" s="717"/>
    </row>
    <row r="84" spans="2:28">
      <c r="B84" s="764" t="s">
        <v>1047</v>
      </c>
      <c r="C84" s="839" t="s">
        <v>452</v>
      </c>
      <c r="D84" s="833" t="s">
        <v>452</v>
      </c>
      <c r="E84" s="833" t="s">
        <v>452</v>
      </c>
      <c r="F84" s="833" t="s">
        <v>452</v>
      </c>
      <c r="G84" s="837"/>
      <c r="H84" s="839" t="s">
        <v>452</v>
      </c>
      <c r="I84" s="833" t="s">
        <v>452</v>
      </c>
      <c r="J84" s="837"/>
      <c r="K84" s="833" t="s">
        <v>452</v>
      </c>
      <c r="L84" s="833" t="s">
        <v>452</v>
      </c>
      <c r="M84" s="817"/>
      <c r="N84" s="817"/>
      <c r="O84" s="839" t="s">
        <v>452</v>
      </c>
      <c r="P84" s="833" t="s">
        <v>452</v>
      </c>
      <c r="Q84" s="833" t="s">
        <v>452</v>
      </c>
      <c r="R84" s="833" t="s">
        <v>452</v>
      </c>
      <c r="S84" s="832"/>
      <c r="T84" s="839" t="s">
        <v>452</v>
      </c>
      <c r="U84" s="833" t="s">
        <v>452</v>
      </c>
      <c r="V84" s="837"/>
      <c r="W84" s="833" t="s">
        <v>452</v>
      </c>
      <c r="X84" s="833" t="s">
        <v>452</v>
      </c>
      <c r="AB84" s="717"/>
    </row>
    <row r="85" spans="2:28">
      <c r="B85" s="764" t="s">
        <v>23</v>
      </c>
      <c r="C85" s="840">
        <f>IF(ISNUMBER(INDEX(Database!$G$6:$G$197, MATCH($B85&amp;"USD bn", Database!$AD$6:$AD$197, 0))), INDEX(Database!$G$6:$G$197, MATCH($B85&amp;"USD bn", Database!$AD$6:$AD$197, 0)), "")</f>
        <v>5.6957877830164128</v>
      </c>
      <c r="D85" s="837">
        <f>IF(ISNUMBER(INDEX(Database!$H$6:$H$197, MATCH($B85&amp;"USD bn", Database!$AD$6:$AD$197, 0))), INDEX(Database!$H$6:$H$197, MATCH($B85&amp;"USD bn", Database!$AD$6:$AD$197, 0)), "")</f>
        <v>0.80458007357131589</v>
      </c>
      <c r="E85" s="837">
        <f>IF(ISNUMBER(INDEX(Database!$J$6:$J$197, MATCH($B85&amp;"USD bn", Database!$AD$6:$AD$197, 0))), INDEX(Database!$J$6:$J$197, MATCH($B85&amp;"USD bn", Database!$AD$6:$AD$197, 0)), "")</f>
        <v>4.891207709445097</v>
      </c>
      <c r="F85" s="833" t="str">
        <f>IF(ISNUMBER(INDEX(Database!$L$6:$L$197, MATCH($B85&amp;"USD bn", Database!$AD$6:$AD$197, 0))), INDEX(Database!$L$6:$L$197, MATCH($B85&amp;"USD bn", Database!$AD$6:$AD$197, 0)), "")</f>
        <v/>
      </c>
      <c r="G85" s="837"/>
      <c r="H85" s="840">
        <f>IF(ISNUMBER(INDEX(Database!$P$6:$P$197, MATCH($B85&amp;"USD bn", Database!$AD$6:$AD$197, 0))), INDEX(Database!$P$6:$P$197, MATCH($B85&amp;"USD bn", Database!$AD$6:$AD$197, 0)), "")</f>
        <v>0.46256670638826908</v>
      </c>
      <c r="I85" s="837">
        <f>IF(ISNUMBER(INDEX(Database!$Q$6:$Q$197, MATCH($B85&amp;"USD bn", Database!$AD$6:$AD$197, 0))), INDEX(Database!$Q$6:$Q$197, MATCH($B85&amp;"USD bn", Database!$AD$6:$AD$197, 0)), "")</f>
        <v>0.46256670638826908</v>
      </c>
      <c r="J85" s="837"/>
      <c r="K85" s="837" t="str">
        <f>IF(ISNUMBER(INDEX(Database!$U$6:$U$197, MATCH($B85&amp;"USD bn", Database!$AD$6:$AD$197, 0))), INDEX(Database!$U$6:$U$197, MATCH($B85&amp;"USD bn", Database!$AD$6:$AD$197, 0)), "")</f>
        <v/>
      </c>
      <c r="L85" s="837" t="str">
        <f>IF(ISNUMBER(INDEX(Database!$W$6:$W$197, MATCH($B85&amp;"USD bn", Database!$AD$6:$AD$197, 0))), INDEX(Database!$W$6:$W$197, MATCH($B85&amp;"USD bn", Database!$AD$6:$AD$197, 0)), "")</f>
        <v/>
      </c>
      <c r="M85" s="817"/>
      <c r="N85" s="817"/>
      <c r="O85" s="835">
        <f>IF(ISNUMBER(INDEX(Database!$G$6:$G$197, MATCH($B85&amp;"% GDP", Database!$AD$6:$AD$197, 0))), INDEX(Database!$G$6:$G$197, MATCH($B85&amp;"% GDP", Database!$AD$6:$AD$197, 0)), "")</f>
        <v>1.5680273855370135</v>
      </c>
      <c r="P85" s="836">
        <f>IF(ISNUMBER(INDEX(Database!$H$6:$H$197, MATCH($B85&amp;"% GDP", Database!$AD$6:$AD$197, 0))), INDEX(Database!$H$6:$H$197, MATCH($B85&amp;"% GDP", Database!$AD$6:$AD$197, 0)), "")</f>
        <v>0.22149764655541296</v>
      </c>
      <c r="Q85" s="836">
        <f>IF(ISNUMBER(INDEX(Database!$J$6:$J$197, MATCH($B85&amp;"% GDP", Database!$AD$6:$AD$197, 0))), INDEX(Database!$J$6:$J$197, MATCH($B85&amp;"% GDP", Database!$AD$6:$AD$197, 0)), "")</f>
        <v>1.3465297389816004</v>
      </c>
      <c r="R85" s="836" t="str">
        <f>IF(ISNUMBER(INDEX(Database!$L$6:$L$197, MATCH($B85&amp;"% GDP", Database!$AD$6:$AD$197, 0))), INDEX(Database!$L$6:$L$197, MATCH($B85&amp;"% GDP", Database!$AD$6:$AD$197, 0)), "")</f>
        <v/>
      </c>
      <c r="S85" s="836"/>
      <c r="T85" s="835">
        <f>IF(ISNUMBER(INDEX(Database!$P$6:$P$197, MATCH($B85&amp;"% GDP", Database!$AD$6:$AD$197, 0))), INDEX(Database!$P$6:$P$197, MATCH($B85&amp;"% GDP", Database!$AD$6:$AD$197, 0)), "")</f>
        <v>0.12734274711168164</v>
      </c>
      <c r="U85" s="836">
        <f>IF(ISNUMBER(INDEX(Database!$Q$6:$Q$197, MATCH($B85&amp;"% GDP", Database!$AD$6:$AD$197, 0))), INDEX(Database!$Q$6:$Q$197, MATCH($B85&amp;"% GDP", Database!$AD$6:$AD$197, 0)), "")</f>
        <v>0.12734274711168164</v>
      </c>
      <c r="V85" s="836"/>
      <c r="W85" s="836" t="str">
        <f>IF(ISNUMBER(INDEX(Database!$U$6:$U$197, MATCH($B85&amp;"% GDP", Database!$AD$6:$AD$197, 0))), INDEX(Database!$U$6:$U$197, MATCH($B85&amp;"% GDP", Database!$AD$6:$AD$197, 0)), "")</f>
        <v/>
      </c>
      <c r="X85" s="836" t="str">
        <f>IF(ISNUMBER(INDEX(Database!$W$6:$W$197, MATCH($B85&amp;"% GDP", Database!$AD$6:$AD$197, 0))), INDEX(Database!$W$6:$W$197, MATCH($B85&amp;"% GDP", Database!$AD$6:$AD$197, 0)), "")</f>
        <v/>
      </c>
      <c r="AB85" s="562"/>
    </row>
    <row r="86" spans="2:28">
      <c r="B86" s="764" t="s">
        <v>1048</v>
      </c>
      <c r="C86" s="839">
        <v>0.92</v>
      </c>
      <c r="D86" s="833">
        <v>0.47</v>
      </c>
      <c r="E86" s="833">
        <v>0.45000000000000007</v>
      </c>
      <c r="F86" s="833" t="s">
        <v>452</v>
      </c>
      <c r="G86" s="837"/>
      <c r="H86" s="839" t="s">
        <v>452</v>
      </c>
      <c r="I86" s="833" t="s">
        <v>452</v>
      </c>
      <c r="J86" s="837"/>
      <c r="K86" s="833" t="s">
        <v>452</v>
      </c>
      <c r="L86" s="833" t="s">
        <v>452</v>
      </c>
      <c r="M86" s="817"/>
      <c r="N86" s="817"/>
      <c r="O86" s="839">
        <v>3.7354184968340878</v>
      </c>
      <c r="P86" s="833">
        <v>1.9083116233826314</v>
      </c>
      <c r="Q86" s="833">
        <v>1.8271068734514562</v>
      </c>
      <c r="R86" s="833" t="s">
        <v>452</v>
      </c>
      <c r="S86" s="832"/>
      <c r="T86" s="839" t="s">
        <v>452</v>
      </c>
      <c r="U86" s="833" t="s">
        <v>452</v>
      </c>
      <c r="V86" s="837"/>
      <c r="W86" s="833" t="s">
        <v>452</v>
      </c>
      <c r="X86" s="833" t="s">
        <v>452</v>
      </c>
      <c r="AB86" s="717"/>
    </row>
    <row r="87" spans="2:28">
      <c r="B87" s="764" t="s">
        <v>1049</v>
      </c>
      <c r="C87" s="839">
        <v>0.17092062206835038</v>
      </c>
      <c r="D87" s="833">
        <v>9.913396079964322E-2</v>
      </c>
      <c r="E87" s="833">
        <v>7.1786661268707155E-2</v>
      </c>
      <c r="F87" s="833">
        <v>3.4184124413670074E-2</v>
      </c>
      <c r="G87" s="837"/>
      <c r="H87" s="839">
        <v>1.7092062206835038E-3</v>
      </c>
      <c r="I87" s="833" t="s">
        <v>452</v>
      </c>
      <c r="J87" s="837"/>
      <c r="K87" s="833">
        <v>1.7092062206835038E-3</v>
      </c>
      <c r="L87" s="833" t="s">
        <v>452</v>
      </c>
      <c r="M87" s="817"/>
      <c r="N87" s="817"/>
      <c r="O87" s="839">
        <v>1.7210598967171629</v>
      </c>
      <c r="P87" s="833">
        <v>0.99821474009595434</v>
      </c>
      <c r="Q87" s="833">
        <v>0.72284515662120841</v>
      </c>
      <c r="R87" s="833">
        <v>0.34421197934343251</v>
      </c>
      <c r="S87" s="832"/>
      <c r="T87" s="839">
        <v>1.7210598967171628E-2</v>
      </c>
      <c r="U87" s="833" t="s">
        <v>452</v>
      </c>
      <c r="V87" s="837"/>
      <c r="W87" s="833">
        <v>1.7210598967171628E-2</v>
      </c>
      <c r="X87" s="833" t="s">
        <v>452</v>
      </c>
      <c r="AB87" s="717"/>
    </row>
    <row r="88" spans="2:28">
      <c r="B88" s="764" t="s">
        <v>1050</v>
      </c>
      <c r="C88" s="839">
        <v>0.10914285714285714</v>
      </c>
      <c r="D88" s="833">
        <v>1.4285714285714285E-2</v>
      </c>
      <c r="E88" s="833">
        <v>9.4857142857142848E-2</v>
      </c>
      <c r="F88" s="833" t="s">
        <v>452</v>
      </c>
      <c r="G88" s="837"/>
      <c r="H88" s="839" t="s">
        <v>452</v>
      </c>
      <c r="I88" s="833" t="s">
        <v>452</v>
      </c>
      <c r="J88" s="837"/>
      <c r="K88" s="833" t="s">
        <v>452</v>
      </c>
      <c r="L88" s="833" t="s">
        <v>452</v>
      </c>
      <c r="M88" s="817"/>
      <c r="N88" s="817"/>
      <c r="O88" s="839">
        <v>2.8361922912854145</v>
      </c>
      <c r="P88" s="833">
        <v>0.37122935749809088</v>
      </c>
      <c r="Q88" s="833">
        <v>2.4649629337873233</v>
      </c>
      <c r="R88" s="833" t="s">
        <v>452</v>
      </c>
      <c r="S88" s="832"/>
      <c r="T88" s="839" t="s">
        <v>452</v>
      </c>
      <c r="U88" s="833" t="s">
        <v>452</v>
      </c>
      <c r="V88" s="837"/>
      <c r="W88" s="833" t="s">
        <v>452</v>
      </c>
      <c r="X88" s="833" t="s">
        <v>452</v>
      </c>
      <c r="AB88" s="717"/>
    </row>
    <row r="89" spans="2:28">
      <c r="B89" s="764" t="s">
        <v>1051</v>
      </c>
      <c r="C89" s="839">
        <v>0.22455520322080055</v>
      </c>
      <c r="D89" s="833">
        <v>1.727347717083081E-2</v>
      </c>
      <c r="E89" s="833">
        <v>0.20728172604996975</v>
      </c>
      <c r="F89" s="833" t="s">
        <v>452</v>
      </c>
      <c r="G89" s="837"/>
      <c r="H89" s="839" t="s">
        <v>452</v>
      </c>
      <c r="I89" s="833" t="s">
        <v>452</v>
      </c>
      <c r="J89" s="837"/>
      <c r="K89" s="833" t="s">
        <v>452</v>
      </c>
      <c r="L89" s="833" t="s">
        <v>452</v>
      </c>
      <c r="M89" s="817"/>
      <c r="N89" s="817"/>
      <c r="O89" s="839">
        <v>5.7103024003394331</v>
      </c>
      <c r="P89" s="833">
        <v>0.43925403079534103</v>
      </c>
      <c r="Q89" s="833">
        <v>5.2710483695440926</v>
      </c>
      <c r="R89" s="833" t="s">
        <v>452</v>
      </c>
      <c r="S89" s="832"/>
      <c r="T89" s="839" t="s">
        <v>452</v>
      </c>
      <c r="U89" s="833" t="s">
        <v>452</v>
      </c>
      <c r="V89" s="837"/>
      <c r="W89" s="833" t="s">
        <v>452</v>
      </c>
      <c r="X89" s="833" t="s">
        <v>452</v>
      </c>
      <c r="AB89" s="717"/>
    </row>
    <row r="90" spans="2:28">
      <c r="B90" s="764" t="s">
        <v>1052</v>
      </c>
      <c r="C90" s="839">
        <v>0.29757280302099798</v>
      </c>
      <c r="D90" s="833">
        <v>0.1129785311871796</v>
      </c>
      <c r="E90" s="833">
        <v>0.18459427183381841</v>
      </c>
      <c r="F90" s="833" t="s">
        <v>452</v>
      </c>
      <c r="G90" s="837"/>
      <c r="H90" s="839">
        <v>2.1365077758543797E-2</v>
      </c>
      <c r="I90" s="833">
        <v>4.2730155517087592E-3</v>
      </c>
      <c r="J90" s="837"/>
      <c r="K90" s="833">
        <v>1.7092062206835037E-2</v>
      </c>
      <c r="L90" s="833" t="s">
        <v>452</v>
      </c>
      <c r="M90" s="817"/>
      <c r="N90" s="817"/>
      <c r="O90" s="839">
        <v>1.9648064559073024</v>
      </c>
      <c r="P90" s="833">
        <v>0.74597189394297925</v>
      </c>
      <c r="Q90" s="833">
        <v>1.2188345619643233</v>
      </c>
      <c r="R90" s="833" t="s">
        <v>452</v>
      </c>
      <c r="S90" s="832"/>
      <c r="T90" s="839">
        <v>0.14106881504216703</v>
      </c>
      <c r="U90" s="833">
        <v>2.8213763008433406E-2</v>
      </c>
      <c r="V90" s="837"/>
      <c r="W90" s="833">
        <v>0.11285505203373362</v>
      </c>
      <c r="X90" s="833" t="s">
        <v>452</v>
      </c>
      <c r="AB90" s="717"/>
    </row>
    <row r="91" spans="2:28">
      <c r="B91" s="764" t="s">
        <v>549</v>
      </c>
      <c r="C91" s="840">
        <f>IF(ISNUMBER(INDEX(Database!$G$6:$G$197, MATCH($B91&amp;"USD bn", Database!$AD$6:$AD$197, 0))), INDEX(Database!$G$6:$G$197, MATCH($B91&amp;"USD bn", Database!$AD$6:$AD$197, 0)), "")</f>
        <v>1.1321361565263992</v>
      </c>
      <c r="D91" s="837">
        <f>IF(ISNUMBER(INDEX(Database!$H$6:$H$197, MATCH($B91&amp;"USD bn", Database!$AD$6:$AD$197, 0))), INDEX(Database!$H$6:$H$197, MATCH($B91&amp;"USD bn", Database!$AD$6:$AD$197, 0)), "")</f>
        <v>0.41490217099973153</v>
      </c>
      <c r="E91" s="837">
        <f>IF(ISNUMBER(INDEX(Database!$J$6:$J$197, MATCH($B91&amp;"USD bn", Database!$AD$6:$AD$197, 0))), INDEX(Database!$J$6:$J$197, MATCH($B91&amp;"USD bn", Database!$AD$6:$AD$197, 0)), "")</f>
        <v>0.71723398552666773</v>
      </c>
      <c r="F91" s="833" t="str">
        <f>IF(ISNUMBER(INDEX(Database!$L$6:$L$197, MATCH($B91&amp;"USD bn", Database!$AD$6:$AD$197, 0))), INDEX(Database!$L$6:$L$197, MATCH($B91&amp;"USD bn", Database!$AD$6:$AD$197, 0)), "")</f>
        <v/>
      </c>
      <c r="G91" s="837"/>
      <c r="H91" s="840">
        <f>IF(ISNUMBER(INDEX(Database!$P$6:$P$197, MATCH($B91&amp;"USD bn", Database!$AD$6:$AD$197, 0))), INDEX(Database!$P$6:$P$197, MATCH($B91&amp;"USD bn", Database!$AD$6:$AD$197, 0)), "")</f>
        <v>5.9361103903259175E-5</v>
      </c>
      <c r="I91" s="837">
        <f>IF(ISNUMBER(INDEX(Database!$Q$6:$Q$197, MATCH($B91&amp;"USD bn", Database!$AD$6:$AD$197, 0))), INDEX(Database!$Q$6:$Q$197, MATCH($B91&amp;"USD bn", Database!$AD$6:$AD$197, 0)), "")</f>
        <v>2.4881899839689477E-5</v>
      </c>
      <c r="J91" s="837"/>
      <c r="K91" s="837">
        <f>IF(ISNUMBER(INDEX(Database!$U$6:$U$197, MATCH($B91&amp;"USD bn", Database!$AD$6:$AD$197, 0))), INDEX(Database!$U$6:$U$197, MATCH($B91&amp;"USD bn", Database!$AD$6:$AD$197, 0)), "")</f>
        <v>3.4479204063569698E-5</v>
      </c>
      <c r="L91" s="837" t="str">
        <f>IF(ISNUMBER(INDEX(Database!$W$6:$W$197, MATCH($B91&amp;"USD bn", Database!$AD$6:$AD$197, 0))), INDEX(Database!$W$6:$W$197, MATCH($B91&amp;"USD bn", Database!$AD$6:$AD$197, 0)), "")</f>
        <v/>
      </c>
      <c r="M91" s="817"/>
      <c r="N91" s="817"/>
      <c r="O91" s="835">
        <f>IF(ISNUMBER(INDEX(Database!$G$6:$G$197, MATCH($B91&amp;"% GDP", Database!$AD$6:$AD$197, 0))), INDEX(Database!$G$6:$G$197, MATCH($B91&amp;"% GDP", Database!$AD$6:$AD$197, 0)), "")</f>
        <v>7.1244589204446775</v>
      </c>
      <c r="P91" s="836">
        <f>IF(ISNUMBER(INDEX(Database!$H$6:$H$197, MATCH($B91&amp;"% GDP", Database!$AD$6:$AD$197, 0))), INDEX(Database!$H$6:$H$197, MATCH($B91&amp;"% GDP", Database!$AD$6:$AD$197, 0)), "")</f>
        <v>2.6109522748220551</v>
      </c>
      <c r="Q91" s="836">
        <f>IF(ISNUMBER(INDEX(Database!$J$6:$J$197, MATCH($B91&amp;"% GDP", Database!$AD$6:$AD$197, 0))), INDEX(Database!$J$6:$J$197, MATCH($B91&amp;"% GDP", Database!$AD$6:$AD$197, 0)), "")</f>
        <v>4.5135066456226216</v>
      </c>
      <c r="R91" s="836" t="str">
        <f>IF(ISNUMBER(INDEX(Database!$L$6:$L$197, MATCH($B91&amp;"% GDP", Database!$AD$6:$AD$197, 0))), INDEX(Database!$L$6:$L$197, MATCH($B91&amp;"% GDP", Database!$AD$6:$AD$197, 0)), "")</f>
        <v/>
      </c>
      <c r="S91" s="836"/>
      <c r="T91" s="835">
        <f>IF(ISNUMBER(INDEX(Database!$P$6:$P$197, MATCH($B91&amp;"% GDP", Database!$AD$6:$AD$197, 0))), INDEX(Database!$P$6:$P$197, MATCH($B91&amp;"% GDP", Database!$AD$6:$AD$197, 0)), "")</f>
        <v>4.5185755271281601E-4</v>
      </c>
      <c r="U91" s="836">
        <f>IF(ISNUMBER(INDEX(Database!$Q$6:$Q$197, MATCH($B91&amp;"% GDP", Database!$AD$6:$AD$197, 0))), INDEX(Database!$Q$6:$Q$197, MATCH($B91&amp;"% GDP", Database!$AD$6:$AD$197, 0)), "")</f>
        <v>1.8940136940058156E-4</v>
      </c>
      <c r="V91" s="836"/>
      <c r="W91" s="836">
        <f>IF(ISNUMBER(INDEX(Database!$U$6:$U$197, MATCH($B91&amp;"% GDP", Database!$AD$6:$AD$197, 0))), INDEX(Database!$U$6:$U$197, MATCH($B91&amp;"% GDP", Database!$AD$6:$AD$197, 0)), "")</f>
        <v>2.6245618331223442E-4</v>
      </c>
      <c r="X91" s="836" t="str">
        <f>IF(ISNUMBER(INDEX(Database!$W$6:$W$197, MATCH($B91&amp;"% GDP", Database!$AD$6:$AD$197, 0))), INDEX(Database!$W$6:$W$197, MATCH($B91&amp;"% GDP", Database!$AD$6:$AD$197, 0)), "")</f>
        <v/>
      </c>
      <c r="AB91" s="562"/>
    </row>
    <row r="92" spans="2:28">
      <c r="B92" s="764" t="s">
        <v>1053</v>
      </c>
      <c r="C92" s="839">
        <v>4.4444447584113145E-2</v>
      </c>
      <c r="D92" s="833">
        <v>3.7037039653427624E-3</v>
      </c>
      <c r="E92" s="833">
        <v>4.0740743618770385E-2</v>
      </c>
      <c r="F92" s="833" t="s">
        <v>452</v>
      </c>
      <c r="G92" s="837"/>
      <c r="H92" s="839" t="s">
        <v>452</v>
      </c>
      <c r="I92" s="833" t="s">
        <v>452</v>
      </c>
      <c r="J92" s="837"/>
      <c r="K92" s="833" t="s">
        <v>452</v>
      </c>
      <c r="L92" s="833" t="s">
        <v>452</v>
      </c>
      <c r="M92" s="817"/>
      <c r="N92" s="817"/>
      <c r="O92" s="839">
        <v>4.1067747804304382</v>
      </c>
      <c r="P92" s="833">
        <v>0.3422312317025365</v>
      </c>
      <c r="Q92" s="833">
        <v>3.7645435487279015</v>
      </c>
      <c r="R92" s="833" t="s">
        <v>452</v>
      </c>
      <c r="S92" s="832"/>
      <c r="T92" s="839" t="s">
        <v>452</v>
      </c>
      <c r="U92" s="833" t="s">
        <v>452</v>
      </c>
      <c r="V92" s="837"/>
      <c r="W92" s="833" t="s">
        <v>452</v>
      </c>
      <c r="X92" s="833" t="s">
        <v>452</v>
      </c>
      <c r="AB92" s="717"/>
    </row>
    <row r="93" spans="2:28">
      <c r="B93" s="764" t="s">
        <v>1054</v>
      </c>
      <c r="C93" s="839">
        <v>2.5557380145811455</v>
      </c>
      <c r="D93" s="833">
        <v>0.15868539918903629</v>
      </c>
      <c r="E93" s="833">
        <v>2.3970526153921092</v>
      </c>
      <c r="F93" s="833" t="s">
        <v>452</v>
      </c>
      <c r="G93" s="837"/>
      <c r="H93" s="839" t="s">
        <v>452</v>
      </c>
      <c r="I93" s="833" t="s">
        <v>452</v>
      </c>
      <c r="J93" s="837"/>
      <c r="K93" s="833" t="s">
        <v>452</v>
      </c>
      <c r="L93" s="833" t="s">
        <v>452</v>
      </c>
      <c r="M93" s="817"/>
      <c r="N93" s="817"/>
      <c r="O93" s="839">
        <v>3.4665169767554169</v>
      </c>
      <c r="P93" s="833">
        <v>0.21523553162085626</v>
      </c>
      <c r="Q93" s="833">
        <v>3.2512814451345609</v>
      </c>
      <c r="R93" s="833" t="s">
        <v>452</v>
      </c>
      <c r="S93" s="832"/>
      <c r="T93" s="839" t="s">
        <v>452</v>
      </c>
      <c r="U93" s="833" t="s">
        <v>452</v>
      </c>
      <c r="V93" s="837"/>
      <c r="W93" s="833" t="s">
        <v>452</v>
      </c>
      <c r="X93" s="833" t="s">
        <v>452</v>
      </c>
      <c r="AB93" s="717"/>
    </row>
    <row r="94" spans="2:28">
      <c r="B94" s="764" t="s">
        <v>1055</v>
      </c>
      <c r="C94" s="839" t="s">
        <v>452</v>
      </c>
      <c r="D94" s="833" t="s">
        <v>452</v>
      </c>
      <c r="E94" s="833" t="s">
        <v>452</v>
      </c>
      <c r="F94" s="833" t="s">
        <v>452</v>
      </c>
      <c r="G94" s="837"/>
      <c r="H94" s="839" t="s">
        <v>452</v>
      </c>
      <c r="I94" s="833" t="s">
        <v>452</v>
      </c>
      <c r="J94" s="837"/>
      <c r="K94" s="833" t="s">
        <v>452</v>
      </c>
      <c r="L94" s="833" t="s">
        <v>452</v>
      </c>
      <c r="M94" s="817"/>
      <c r="N94" s="817"/>
      <c r="O94" s="839" t="s">
        <v>452</v>
      </c>
      <c r="P94" s="833" t="s">
        <v>452</v>
      </c>
      <c r="Q94" s="833" t="s">
        <v>452</v>
      </c>
      <c r="R94" s="833" t="s">
        <v>452</v>
      </c>
      <c r="S94" s="832"/>
      <c r="T94" s="839" t="s">
        <v>452</v>
      </c>
      <c r="U94" s="833" t="s">
        <v>452</v>
      </c>
      <c r="V94" s="837"/>
      <c r="W94" s="833" t="s">
        <v>452</v>
      </c>
      <c r="X94" s="833" t="s">
        <v>452</v>
      </c>
      <c r="AB94" s="717"/>
    </row>
    <row r="95" spans="2:28">
      <c r="B95" s="764" t="s">
        <v>40</v>
      </c>
      <c r="C95" s="839">
        <v>6.0700780864114599</v>
      </c>
      <c r="D95" s="833">
        <v>1.7353696496726863</v>
      </c>
      <c r="E95" s="833">
        <v>4.3347084367387732</v>
      </c>
      <c r="F95" s="833" t="s">
        <v>452</v>
      </c>
      <c r="G95" s="837"/>
      <c r="H95" s="839">
        <v>6.4995117965269147</v>
      </c>
      <c r="I95" s="833" t="s">
        <v>452</v>
      </c>
      <c r="J95" s="837"/>
      <c r="K95" s="833">
        <v>6.4995117965269147</v>
      </c>
      <c r="L95" s="833" t="s">
        <v>452</v>
      </c>
      <c r="M95" s="817"/>
      <c r="N95" s="817"/>
      <c r="O95" s="839">
        <v>4.0586387434554974</v>
      </c>
      <c r="P95" s="833">
        <v>1.1603209042970015</v>
      </c>
      <c r="Q95" s="833">
        <v>2.8983178391584956</v>
      </c>
      <c r="R95" s="833" t="s">
        <v>452</v>
      </c>
      <c r="S95" s="832"/>
      <c r="T95" s="839">
        <v>4.3457711771423284</v>
      </c>
      <c r="U95" s="833" t="s">
        <v>452</v>
      </c>
      <c r="V95" s="837"/>
      <c r="W95" s="833">
        <v>4.3457711771423284</v>
      </c>
      <c r="X95" s="833" t="s">
        <v>452</v>
      </c>
      <c r="AB95" s="717"/>
    </row>
    <row r="96" spans="2:28">
      <c r="B96" s="764" t="s">
        <v>28</v>
      </c>
      <c r="C96" s="839">
        <v>30.589630614544188</v>
      </c>
      <c r="D96" s="833">
        <v>11.448396408215547</v>
      </c>
      <c r="E96" s="833">
        <v>19.14123420632864</v>
      </c>
      <c r="F96" s="833">
        <v>34.345189224646646</v>
      </c>
      <c r="G96" s="837"/>
      <c r="H96" s="839" t="s">
        <v>452</v>
      </c>
      <c r="I96" s="833" t="s">
        <v>452</v>
      </c>
      <c r="J96" s="837"/>
      <c r="K96" s="833" t="s">
        <v>452</v>
      </c>
      <c r="L96" s="833" t="s">
        <v>452</v>
      </c>
      <c r="M96" s="817"/>
      <c r="N96" s="817"/>
      <c r="O96" s="839">
        <v>5.0276544209483394</v>
      </c>
      <c r="P96" s="833">
        <v>1.8816370011073984</v>
      </c>
      <c r="Q96" s="833">
        <v>3.1460174198409416</v>
      </c>
      <c r="R96" s="833">
        <v>5.6449110033221945</v>
      </c>
      <c r="S96" s="832"/>
      <c r="T96" s="839" t="s">
        <v>452</v>
      </c>
      <c r="U96" s="833" t="s">
        <v>452</v>
      </c>
      <c r="V96" s="837"/>
      <c r="W96" s="833" t="s">
        <v>452</v>
      </c>
      <c r="X96" s="833" t="s">
        <v>452</v>
      </c>
      <c r="AB96" s="717"/>
    </row>
    <row r="97" spans="2:28">
      <c r="B97" s="764" t="s">
        <v>1056</v>
      </c>
      <c r="C97" s="839">
        <v>0.33333333333333331</v>
      </c>
      <c r="D97" s="833">
        <v>7.952622673434856E-2</v>
      </c>
      <c r="E97" s="833">
        <v>0.25380710659898476</v>
      </c>
      <c r="F97" s="833">
        <v>0</v>
      </c>
      <c r="G97" s="837"/>
      <c r="H97" s="839" t="s">
        <v>452</v>
      </c>
      <c r="I97" s="833">
        <v>0</v>
      </c>
      <c r="J97" s="837"/>
      <c r="K97" s="833">
        <v>0</v>
      </c>
      <c r="L97" s="833">
        <v>0</v>
      </c>
      <c r="M97" s="817"/>
      <c r="N97" s="817"/>
      <c r="O97" s="839">
        <v>0.18815082582175055</v>
      </c>
      <c r="P97" s="833">
        <v>4.4888775703666381E-2</v>
      </c>
      <c r="Q97" s="833">
        <v>0.14326205011808418</v>
      </c>
      <c r="R97" s="833">
        <v>0</v>
      </c>
      <c r="S97" s="832"/>
      <c r="T97" s="839" t="s">
        <v>452</v>
      </c>
      <c r="U97" s="833">
        <v>0</v>
      </c>
      <c r="V97" s="837"/>
      <c r="W97" s="833">
        <v>0</v>
      </c>
      <c r="X97" s="833">
        <v>0</v>
      </c>
      <c r="AB97" s="717"/>
    </row>
    <row r="98" spans="2:28">
      <c r="B98" s="764" t="s">
        <v>1057</v>
      </c>
      <c r="C98" s="839">
        <v>0.12689087308761421</v>
      </c>
      <c r="D98" s="833">
        <v>0.05</v>
      </c>
      <c r="E98" s="833">
        <v>7.6890873087614206E-2</v>
      </c>
      <c r="F98" s="833" t="s">
        <v>452</v>
      </c>
      <c r="G98" s="837"/>
      <c r="H98" s="839" t="s">
        <v>452</v>
      </c>
      <c r="I98" s="833" t="s">
        <v>452</v>
      </c>
      <c r="J98" s="837"/>
      <c r="K98" s="833" t="s">
        <v>452</v>
      </c>
      <c r="L98" s="833" t="s">
        <v>452</v>
      </c>
      <c r="M98" s="817"/>
      <c r="N98" s="817"/>
      <c r="O98" s="839">
        <v>0.86197104782418632</v>
      </c>
      <c r="P98" s="833">
        <v>0.4</v>
      </c>
      <c r="Q98" s="833">
        <v>0.4619710478241863</v>
      </c>
      <c r="R98" s="833" t="s">
        <v>452</v>
      </c>
      <c r="S98" s="832"/>
      <c r="T98" s="839" t="s">
        <v>452</v>
      </c>
      <c r="U98" s="833" t="s">
        <v>452</v>
      </c>
      <c r="V98" s="837"/>
      <c r="W98" s="833" t="s">
        <v>452</v>
      </c>
      <c r="X98" s="833" t="s">
        <v>452</v>
      </c>
      <c r="AB98" s="717"/>
    </row>
    <row r="99" spans="2:28">
      <c r="B99" s="764" t="s">
        <v>1058</v>
      </c>
      <c r="C99" s="839">
        <v>0.22567039999999988</v>
      </c>
      <c r="D99" s="833">
        <v>7.0521999999999974E-2</v>
      </c>
      <c r="E99" s="833">
        <v>0.15514839999999994</v>
      </c>
      <c r="F99" s="833" t="s">
        <v>452</v>
      </c>
      <c r="G99" s="837"/>
      <c r="H99" s="839">
        <v>0.70521999999999962</v>
      </c>
      <c r="I99" s="833" t="s">
        <v>452</v>
      </c>
      <c r="J99" s="837"/>
      <c r="K99" s="833" t="s">
        <v>452</v>
      </c>
      <c r="L99" s="833">
        <v>0.70521999999999962</v>
      </c>
      <c r="M99" s="817"/>
      <c r="N99" s="817"/>
      <c r="O99" s="839">
        <v>0.54079086977564328</v>
      </c>
      <c r="P99" s="833">
        <v>0.16899714680488853</v>
      </c>
      <c r="Q99" s="833">
        <v>0.3717937229707548</v>
      </c>
      <c r="R99" s="833" t="s">
        <v>452</v>
      </c>
      <c r="S99" s="832"/>
      <c r="T99" s="839">
        <v>1.6899714680488853</v>
      </c>
      <c r="U99" s="833" t="s">
        <v>452</v>
      </c>
      <c r="V99" s="837"/>
      <c r="W99" s="833" t="s">
        <v>452</v>
      </c>
      <c r="X99" s="833">
        <v>1.6899714680488853</v>
      </c>
      <c r="AB99" s="717"/>
    </row>
    <row r="100" spans="2:28">
      <c r="B100" s="764" t="s">
        <v>35</v>
      </c>
      <c r="C100" s="840">
        <f>IF(ISNUMBER(INDEX(Database!$G$6:$G$197, MATCH($B100&amp;"USD bn", Database!$AD$6:$AD$197, 0))), INDEX(Database!$G$6:$G$197, MATCH($B100&amp;"USD bn", Database!$AD$6:$AD$197, 0)), "")</f>
        <v>9.4151074374828561</v>
      </c>
      <c r="D100" s="837">
        <f>IF(ISNUMBER(INDEX(Database!$H$6:$H$197, MATCH($B100&amp;"USD bn", Database!$AD$6:$AD$197, 0))), INDEX(Database!$H$6:$H$197, MATCH($B100&amp;"USD bn", Database!$AD$6:$AD$197, 0)), "")</f>
        <v>1.203525822126795</v>
      </c>
      <c r="E100" s="837">
        <f>IF(ISNUMBER(INDEX(Database!$J$6:$J$197, MATCH($B100&amp;"USD bn", Database!$AD$6:$AD$197, 0))), INDEX(Database!$J$6:$J$197, MATCH($B100&amp;"USD bn", Database!$AD$6:$AD$197, 0)), "")</f>
        <v>8.2115816153560601</v>
      </c>
      <c r="F100" s="833">
        <f>IF(ISNUMBER(INDEX(Database!$L$6:$L$197, MATCH($B100&amp;"USD bn", Database!$AD$6:$AD$197, 0))), INDEX(Database!$L$6:$L$197, MATCH($B100&amp;"USD bn", Database!$AD$6:$AD$197, 0)), "")</f>
        <v>0.48431622620796583</v>
      </c>
      <c r="G100" s="837"/>
      <c r="H100" s="840">
        <f>IF(ISNUMBER(INDEX(Database!$P$6:$P$197, MATCH($B100&amp;"USD bn", Database!$AD$6:$AD$197, 0))), INDEX(Database!$P$6:$P$197, MATCH($B100&amp;"USD bn", Database!$AD$6:$AD$197, 0)), "")</f>
        <v>4.8843291413073349</v>
      </c>
      <c r="I100" s="837">
        <f>IF(ISNUMBER(INDEX(Database!$Q$6:$Q$197, MATCH($B100&amp;"USD bn", Database!$AD$6:$AD$197, 0))), INDEX(Database!$Q$6:$Q$197, MATCH($B100&amp;"USD bn", Database!$AD$6:$AD$197, 0)), "")</f>
        <v>0</v>
      </c>
      <c r="J100" s="837"/>
      <c r="K100" s="837" t="str">
        <f>IF(ISNUMBER(INDEX(Database!$U$6:$U$197, MATCH($B100&amp;"USD bn", Database!$AD$6:$AD$197, 0))), INDEX(Database!$U$6:$U$197, MATCH($B100&amp;"USD bn", Database!$AD$6:$AD$197, 0)), "")</f>
        <v/>
      </c>
      <c r="L100" s="837">
        <f>IF(ISNUMBER(INDEX(Database!$W$6:$W$197, MATCH($B100&amp;"USD bn", Database!$AD$6:$AD$197, 0))), INDEX(Database!$W$6:$W$197, MATCH($B100&amp;"USD bn", Database!$AD$6:$AD$197, 0)), "")</f>
        <v>4.8843291413073349</v>
      </c>
      <c r="M100" s="817"/>
      <c r="N100" s="817"/>
      <c r="O100" s="835">
        <f>IF(ISNUMBER(INDEX(Database!$G$6:$G$197, MATCH($B100&amp;"% GDP", Database!$AD$6:$AD$197, 0))), INDEX(Database!$G$6:$G$197, MATCH($B100&amp;"% GDP", Database!$AD$6:$AD$197, 0)), "")</f>
        <v>5.4981978129390923</v>
      </c>
      <c r="P100" s="836">
        <f>IF(ISNUMBER(INDEX(Database!$H$6:$H$197, MATCH($B100&amp;"% GDP", Database!$AD$6:$AD$197, 0))), INDEX(Database!$H$6:$H$197, MATCH($B100&amp;"% GDP", Database!$AD$6:$AD$197, 0)), "")</f>
        <v>0.70283032742559903</v>
      </c>
      <c r="Q100" s="836">
        <f>IF(ISNUMBER(INDEX(Database!$J$6:$J$197, MATCH($B100&amp;"% GDP", Database!$AD$6:$AD$197, 0))), INDEX(Database!$J$6:$J$197, MATCH($B100&amp;"% GDP", Database!$AD$6:$AD$197, 0)), "")</f>
        <v>4.7953674855134931</v>
      </c>
      <c r="R100" s="836">
        <f>IF(ISNUMBER(INDEX(Database!$L$6:$L$197, MATCH($B100&amp;"% GDP", Database!$AD$6:$AD$197, 0))), INDEX(Database!$L$6:$L$197, MATCH($B100&amp;"% GDP", Database!$AD$6:$AD$197, 0)), "")</f>
        <v>0.28282910560386276</v>
      </c>
      <c r="S100" s="836"/>
      <c r="T100" s="835">
        <f>IF(ISNUMBER(INDEX(Database!$P$6:$P$197, MATCH($B100&amp;"% GDP", Database!$AD$6:$AD$197, 0))), INDEX(Database!$P$6:$P$197, MATCH($B100&amp;"% GDP", Database!$AD$6:$AD$197, 0)), "")</f>
        <v>2.8523315300149559</v>
      </c>
      <c r="U100" s="836">
        <f>IF(ISNUMBER(INDEX(Database!$Q$6:$Q$197, MATCH($B100&amp;"% GDP", Database!$AD$6:$AD$197, 0))), INDEX(Database!$Q$6:$Q$197, MATCH($B100&amp;"% GDP", Database!$AD$6:$AD$197, 0)), "")</f>
        <v>0</v>
      </c>
      <c r="V100" s="836"/>
      <c r="W100" s="836" t="str">
        <f>IF(ISNUMBER(INDEX(Database!$U$6:$U$197, MATCH($B100&amp;"% GDP", Database!$AD$6:$AD$197, 0))), INDEX(Database!$U$6:$U$197, MATCH($B100&amp;"% GDP", Database!$AD$6:$AD$197, 0)), "")</f>
        <v/>
      </c>
      <c r="X100" s="836">
        <f>IF(ISNUMBER(INDEX(Database!$W$6:$W$197, MATCH($B100&amp;"% GDP", Database!$AD$6:$AD$197, 0))), INDEX(Database!$W$6:$W$197, MATCH($B100&amp;"% GDP", Database!$AD$6:$AD$197, 0)), "")</f>
        <v>2.8523315300149559</v>
      </c>
      <c r="AB100" s="562"/>
    </row>
    <row r="101" spans="2:28">
      <c r="B101" s="764" t="s">
        <v>970</v>
      </c>
      <c r="C101" s="839">
        <v>0.39560520949447364</v>
      </c>
      <c r="D101" s="833">
        <v>3.2347829284630994E-2</v>
      </c>
      <c r="E101" s="833">
        <v>0.36325738020984266</v>
      </c>
      <c r="F101" s="833" t="s">
        <v>452</v>
      </c>
      <c r="G101" s="837"/>
      <c r="H101" s="839" t="s">
        <v>452</v>
      </c>
      <c r="I101" s="833">
        <v>0</v>
      </c>
      <c r="J101" s="837"/>
      <c r="K101" s="833" t="s">
        <v>452</v>
      </c>
      <c r="L101" s="833" t="s">
        <v>452</v>
      </c>
      <c r="M101" s="817"/>
      <c r="N101" s="817"/>
      <c r="O101" s="839">
        <v>5.3945646508828942</v>
      </c>
      <c r="P101" s="833">
        <v>0.44110252393959576</v>
      </c>
      <c r="Q101" s="833">
        <v>4.9534621269432986</v>
      </c>
      <c r="R101" s="833" t="s">
        <v>452</v>
      </c>
      <c r="S101" s="832"/>
      <c r="T101" s="839" t="s">
        <v>452</v>
      </c>
      <c r="U101" s="833">
        <v>0</v>
      </c>
      <c r="V101" s="837"/>
      <c r="W101" s="833" t="s">
        <v>452</v>
      </c>
      <c r="X101" s="833" t="s">
        <v>452</v>
      </c>
      <c r="AB101" s="717"/>
    </row>
    <row r="102" spans="2:28">
      <c r="B102" s="764" t="s">
        <v>1059</v>
      </c>
      <c r="C102" s="839">
        <v>1.6561775422325273</v>
      </c>
      <c r="D102" s="833" t="s">
        <v>452</v>
      </c>
      <c r="E102" s="833" t="s">
        <v>452</v>
      </c>
      <c r="F102" s="833" t="s">
        <v>452</v>
      </c>
      <c r="G102" s="837"/>
      <c r="H102" s="839" t="s">
        <v>452</v>
      </c>
      <c r="I102" s="833" t="s">
        <v>452</v>
      </c>
      <c r="J102" s="837"/>
      <c r="K102" s="833" t="s">
        <v>452</v>
      </c>
      <c r="L102" s="833" t="s">
        <v>452</v>
      </c>
      <c r="M102" s="817"/>
      <c r="N102" s="817"/>
      <c r="O102" s="839">
        <v>1.5198909617927794</v>
      </c>
      <c r="P102" s="833" t="s">
        <v>452</v>
      </c>
      <c r="Q102" s="833" t="s">
        <v>452</v>
      </c>
      <c r="R102" s="833" t="s">
        <v>452</v>
      </c>
      <c r="S102" s="832"/>
      <c r="T102" s="839" t="s">
        <v>452</v>
      </c>
      <c r="U102" s="833" t="s">
        <v>452</v>
      </c>
      <c r="V102" s="837"/>
      <c r="W102" s="833" t="s">
        <v>452</v>
      </c>
      <c r="X102" s="833" t="s">
        <v>452</v>
      </c>
      <c r="AB102" s="717"/>
    </row>
    <row r="103" spans="2:28">
      <c r="B103" s="764" t="s">
        <v>1060</v>
      </c>
      <c r="C103" s="839" t="s">
        <v>452</v>
      </c>
      <c r="D103" s="833" t="s">
        <v>452</v>
      </c>
      <c r="E103" s="833" t="s">
        <v>452</v>
      </c>
      <c r="F103" s="833" t="s">
        <v>452</v>
      </c>
      <c r="G103" s="837"/>
      <c r="H103" s="839" t="s">
        <v>452</v>
      </c>
      <c r="I103" s="833" t="s">
        <v>452</v>
      </c>
      <c r="J103" s="837"/>
      <c r="K103" s="833" t="s">
        <v>452</v>
      </c>
      <c r="L103" s="833" t="s">
        <v>452</v>
      </c>
      <c r="M103" s="817"/>
      <c r="N103" s="817"/>
      <c r="O103" s="839" t="s">
        <v>452</v>
      </c>
      <c r="P103" s="833" t="s">
        <v>452</v>
      </c>
      <c r="Q103" s="833" t="s">
        <v>452</v>
      </c>
      <c r="R103" s="833" t="s">
        <v>452</v>
      </c>
      <c r="S103" s="832"/>
      <c r="T103" s="839" t="s">
        <v>452</v>
      </c>
      <c r="U103" s="833" t="s">
        <v>452</v>
      </c>
      <c r="V103" s="837"/>
      <c r="W103" s="833" t="s">
        <v>452</v>
      </c>
      <c r="X103" s="833" t="s">
        <v>452</v>
      </c>
      <c r="AB103" s="717"/>
    </row>
    <row r="104" spans="2:28">
      <c r="B104" s="764" t="s">
        <v>1061</v>
      </c>
      <c r="C104" s="839">
        <v>0.36090251971399612</v>
      </c>
      <c r="D104" s="833" t="s">
        <v>452</v>
      </c>
      <c r="E104" s="833" t="s">
        <v>452</v>
      </c>
      <c r="F104" s="833" t="s">
        <v>452</v>
      </c>
      <c r="G104" s="837"/>
      <c r="H104" s="839" t="s">
        <v>452</v>
      </c>
      <c r="I104" s="833" t="s">
        <v>452</v>
      </c>
      <c r="J104" s="837"/>
      <c r="K104" s="833" t="s">
        <v>452</v>
      </c>
      <c r="L104" s="833" t="s">
        <v>452</v>
      </c>
      <c r="M104" s="817"/>
      <c r="N104" s="817"/>
      <c r="O104" s="839">
        <v>1.6551601659142039</v>
      </c>
      <c r="P104" s="833" t="s">
        <v>452</v>
      </c>
      <c r="Q104" s="833" t="s">
        <v>452</v>
      </c>
      <c r="R104" s="833" t="s">
        <v>452</v>
      </c>
      <c r="S104" s="832"/>
      <c r="T104" s="839" t="s">
        <v>452</v>
      </c>
      <c r="U104" s="833" t="s">
        <v>452</v>
      </c>
      <c r="V104" s="837"/>
      <c r="W104" s="833" t="s">
        <v>452</v>
      </c>
      <c r="X104" s="833" t="s">
        <v>452</v>
      </c>
      <c r="AB104" s="717"/>
    </row>
    <row r="105" spans="2:28">
      <c r="B105" s="764" t="s">
        <v>24</v>
      </c>
      <c r="C105" s="839">
        <v>14.623605992206191</v>
      </c>
      <c r="D105" s="833">
        <v>0.37616992905996632</v>
      </c>
      <c r="E105" s="833">
        <v>14.247436063146225</v>
      </c>
      <c r="F105" s="833">
        <v>3.8087205317321589</v>
      </c>
      <c r="G105" s="837"/>
      <c r="H105" s="839">
        <v>11.755310283123947</v>
      </c>
      <c r="I105" s="833">
        <v>0</v>
      </c>
      <c r="J105" s="837"/>
      <c r="K105" s="833">
        <v>11.755310283123947</v>
      </c>
      <c r="L105" s="833" t="s">
        <v>452</v>
      </c>
      <c r="M105" s="817"/>
      <c r="N105" s="817"/>
      <c r="O105" s="839">
        <v>4.3058821322447409</v>
      </c>
      <c r="P105" s="833">
        <v>0.11076224134391617</v>
      </c>
      <c r="Q105" s="833">
        <v>4.1951198909008243</v>
      </c>
      <c r="R105" s="833">
        <v>1.1214676936071513</v>
      </c>
      <c r="S105" s="832"/>
      <c r="T105" s="839">
        <v>3.4613200419973804</v>
      </c>
      <c r="U105" s="833">
        <v>0</v>
      </c>
      <c r="V105" s="837"/>
      <c r="W105" s="833">
        <v>3.4613200419973804</v>
      </c>
      <c r="X105" s="833" t="s">
        <v>452</v>
      </c>
      <c r="AB105" s="717"/>
    </row>
    <row r="106" spans="2:28">
      <c r="B106" s="764" t="s">
        <v>1062</v>
      </c>
      <c r="C106" s="839">
        <v>0.3</v>
      </c>
      <c r="D106" s="833" t="s">
        <v>452</v>
      </c>
      <c r="E106" s="833">
        <v>0.3</v>
      </c>
      <c r="F106" s="833" t="s">
        <v>452</v>
      </c>
      <c r="G106" s="837"/>
      <c r="H106" s="839" t="s">
        <v>452</v>
      </c>
      <c r="I106" s="833" t="s">
        <v>452</v>
      </c>
      <c r="J106" s="837"/>
      <c r="K106" s="833" t="s">
        <v>452</v>
      </c>
      <c r="L106" s="833" t="s">
        <v>452</v>
      </c>
      <c r="M106" s="817"/>
      <c r="N106" s="817"/>
      <c r="O106" s="839">
        <v>5.5</v>
      </c>
      <c r="P106" s="833" t="s">
        <v>452</v>
      </c>
      <c r="Q106" s="833">
        <v>5.5</v>
      </c>
      <c r="R106" s="833" t="s">
        <v>452</v>
      </c>
      <c r="S106" s="832"/>
      <c r="T106" s="839" t="s">
        <v>452</v>
      </c>
      <c r="U106" s="833" t="s">
        <v>452</v>
      </c>
      <c r="V106" s="837"/>
      <c r="W106" s="833" t="s">
        <v>452</v>
      </c>
      <c r="X106" s="833" t="s">
        <v>452</v>
      </c>
      <c r="AB106" s="717"/>
    </row>
    <row r="107" spans="2:28">
      <c r="B107" s="764" t="s">
        <v>92</v>
      </c>
      <c r="C107" s="840">
        <f>IF(ISNUMBER(INDEX(Database!$G$6:$G$197, MATCH($B107&amp;"USD bn", Database!$AD$6:$AD$197, 0))), INDEX(Database!$G$6:$G$197, MATCH($B107&amp;"USD bn", Database!$AD$6:$AD$197, 0)), "")</f>
        <v>0.99880719208951563</v>
      </c>
      <c r="D107" s="837">
        <f>IF(ISNUMBER(INDEX(Database!$H$6:$H$197, MATCH($B107&amp;"USD bn", Database!$AD$6:$AD$197, 0))), INDEX(Database!$H$6:$H$197, MATCH($B107&amp;"USD bn", Database!$AD$6:$AD$197, 0)), "")</f>
        <v>3.3039423656905105E-2</v>
      </c>
      <c r="E107" s="837">
        <f>IF(ISNUMBER(INDEX(Database!$J$6:$J$197, MATCH($B107&amp;"USD bn", Database!$AD$6:$AD$197, 0))), INDEX(Database!$J$6:$J$197, MATCH($B107&amp;"USD bn", Database!$AD$6:$AD$197, 0)), "")</f>
        <v>0.96576776843261058</v>
      </c>
      <c r="F107" s="833" t="str">
        <f>IF(ISNUMBER(INDEX(Database!$L$6:$L$197, MATCH($B107&amp;"USD bn", Database!$AD$6:$AD$197, 0))), INDEX(Database!$L$6:$L$197, MATCH($B107&amp;"USD bn", Database!$AD$6:$AD$197, 0)), "")</f>
        <v/>
      </c>
      <c r="G107" s="837"/>
      <c r="H107" s="840">
        <f>IF(ISNUMBER(INDEX(Database!$P$6:$P$197, MATCH($B107&amp;"USD bn", Database!$AD$6:$AD$197, 0))), INDEX(Database!$P$6:$P$197, MATCH($B107&amp;"USD bn", Database!$AD$6:$AD$197, 0)), "")</f>
        <v>4.0460586509071472</v>
      </c>
      <c r="I107" s="837">
        <f>IF(ISNUMBER(INDEX(Database!$Q$6:$Q$197, MATCH($B107&amp;"USD bn", Database!$AD$6:$AD$197, 0))), INDEX(Database!$Q$6:$Q$197, MATCH($B107&amp;"USD bn", Database!$AD$6:$AD$197, 0)), "")</f>
        <v>0.36089216609850183</v>
      </c>
      <c r="J107" s="837"/>
      <c r="K107" s="837" t="str">
        <f>IF(ISNUMBER(INDEX(Database!$U$6:$U$197, MATCH($B107&amp;"USD bn", Database!$AD$6:$AD$197, 0))), INDEX(Database!$U$6:$U$197, MATCH($B107&amp;"USD bn", Database!$AD$6:$AD$197, 0)), "")</f>
        <v/>
      </c>
      <c r="L107" s="837">
        <f>IF(ISNUMBER(INDEX(Database!$W$6:$W$197, MATCH($B107&amp;"USD bn", Database!$AD$6:$AD$197, 0))), INDEX(Database!$W$6:$W$197, MATCH($B107&amp;"USD bn", Database!$AD$6:$AD$197, 0)), "")</f>
        <v>3.6851664848086458</v>
      </c>
      <c r="M107" s="817"/>
      <c r="N107" s="817"/>
      <c r="O107" s="835">
        <f>IF(ISNUMBER(INDEX(Database!$G$6:$G$197, MATCH($B107&amp;"% GDP", Database!$AD$6:$AD$197, 0))), INDEX(Database!$G$6:$G$197, MATCH($B107&amp;"% GDP", Database!$AD$6:$AD$197, 0)), "")</f>
        <v>9.1999999999999993</v>
      </c>
      <c r="P107" s="836">
        <f>IF(ISNUMBER(INDEX(Database!$H$6:$H$197, MATCH($B107&amp;"% GDP", Database!$AD$6:$AD$197, 0))), INDEX(Database!$H$6:$H$197, MATCH($B107&amp;"% GDP", Database!$AD$6:$AD$197, 0)), "")</f>
        <v>0.30432569974554707</v>
      </c>
      <c r="Q107" s="836">
        <f>IF(ISNUMBER(INDEX(Database!$J$6:$J$197, MATCH($B107&amp;"% GDP", Database!$AD$6:$AD$197, 0))), INDEX(Database!$J$6:$J$197, MATCH($B107&amp;"% GDP", Database!$AD$6:$AD$197, 0)), "")</f>
        <v>8.895674300254452</v>
      </c>
      <c r="R107" s="836" t="str">
        <f>IF(ISNUMBER(INDEX(Database!$L$6:$L$197, MATCH($B107&amp;"% GDP", Database!$AD$6:$AD$197, 0))), INDEX(Database!$L$6:$L$197, MATCH($B107&amp;"% GDP", Database!$AD$6:$AD$197, 0)), "")</f>
        <v/>
      </c>
      <c r="S107" s="836"/>
      <c r="T107" s="835">
        <f>IF(ISNUMBER(INDEX(Database!$P$6:$P$197, MATCH($B107&amp;"% GDP", Database!$AD$6:$AD$197, 0))), INDEX(Database!$P$6:$P$197, MATCH($B107&amp;"% GDP", Database!$AD$6:$AD$197, 0)), "")</f>
        <v>37.268193384223913</v>
      </c>
      <c r="U107" s="836">
        <f>IF(ISNUMBER(INDEX(Database!$Q$6:$Q$197, MATCH($B107&amp;"% GDP", Database!$AD$6:$AD$197, 0))), INDEX(Database!$Q$6:$Q$197, MATCH($B107&amp;"% GDP", Database!$AD$6:$AD$197, 0)), "")</f>
        <v>3.3241730279898221</v>
      </c>
      <c r="V107" s="836"/>
      <c r="W107" s="836" t="str">
        <f>IF(ISNUMBER(INDEX(Database!$U$6:$U$197, MATCH($B107&amp;"% GDP", Database!$AD$6:$AD$197, 0))), INDEX(Database!$U$6:$U$197, MATCH($B107&amp;"% GDP", Database!$AD$6:$AD$197, 0)), "")</f>
        <v/>
      </c>
      <c r="X107" s="836">
        <f>IF(ISNUMBER(INDEX(Database!$W$6:$W$197, MATCH($B107&amp;"% GDP", Database!$AD$6:$AD$197, 0))), INDEX(Database!$W$6:$W$197, MATCH($B107&amp;"% GDP", Database!$AD$6:$AD$197, 0)), "")</f>
        <v>33.944020356234091</v>
      </c>
      <c r="AB107" s="562"/>
    </row>
    <row r="108" spans="2:28">
      <c r="B108" s="764" t="s">
        <v>1063</v>
      </c>
      <c r="C108" s="839">
        <v>7.0000000000000007E-2</v>
      </c>
      <c r="D108" s="833">
        <v>0.02</v>
      </c>
      <c r="E108" s="833">
        <v>0.05</v>
      </c>
      <c r="F108" s="833" t="s">
        <v>452</v>
      </c>
      <c r="G108" s="837"/>
      <c r="H108" s="839" t="s">
        <v>452</v>
      </c>
      <c r="I108" s="833" t="s">
        <v>452</v>
      </c>
      <c r="J108" s="837"/>
      <c r="K108" s="833" t="s">
        <v>452</v>
      </c>
      <c r="L108" s="833" t="s">
        <v>452</v>
      </c>
      <c r="M108" s="817"/>
      <c r="N108" s="817"/>
      <c r="O108" s="839">
        <v>17.770943031515003</v>
      </c>
      <c r="P108" s="833">
        <v>5.077412294718572</v>
      </c>
      <c r="Q108" s="833">
        <v>12.693530736796429</v>
      </c>
      <c r="R108" s="833" t="s">
        <v>452</v>
      </c>
      <c r="S108" s="832"/>
      <c r="T108" s="839" t="s">
        <v>452</v>
      </c>
      <c r="U108" s="833" t="s">
        <v>452</v>
      </c>
      <c r="V108" s="837"/>
      <c r="W108" s="833" t="s">
        <v>452</v>
      </c>
      <c r="X108" s="833" t="s">
        <v>452</v>
      </c>
      <c r="AB108" s="717"/>
    </row>
    <row r="109" spans="2:28">
      <c r="B109" s="764" t="s">
        <v>25</v>
      </c>
      <c r="C109" s="839">
        <v>1.0442770003588087</v>
      </c>
      <c r="D109" s="833">
        <v>0.15794761392177969</v>
      </c>
      <c r="E109" s="833">
        <v>0.88632938643702897</v>
      </c>
      <c r="F109" s="833" t="s">
        <v>452</v>
      </c>
      <c r="G109" s="837"/>
      <c r="H109" s="839">
        <v>0.32400430570505923</v>
      </c>
      <c r="I109" s="833">
        <v>3.6957301758162898E-2</v>
      </c>
      <c r="J109" s="837"/>
      <c r="K109" s="833">
        <v>0</v>
      </c>
      <c r="L109" s="833">
        <v>0.28704700394689631</v>
      </c>
      <c r="M109" s="817"/>
      <c r="N109" s="817"/>
      <c r="O109" s="839">
        <v>7.5227460711331666</v>
      </c>
      <c r="P109" s="833">
        <v>1.1378205128205128</v>
      </c>
      <c r="Q109" s="833">
        <v>6.3849255583126538</v>
      </c>
      <c r="R109" s="833" t="s">
        <v>452</v>
      </c>
      <c r="S109" s="832"/>
      <c r="T109" s="839">
        <v>2.3340570719602978</v>
      </c>
      <c r="U109" s="833">
        <v>0.26623242349048798</v>
      </c>
      <c r="V109" s="837"/>
      <c r="W109" s="833">
        <v>0</v>
      </c>
      <c r="X109" s="833">
        <v>2.0678246484698097</v>
      </c>
      <c r="AB109" s="717"/>
    </row>
    <row r="110" spans="2:28">
      <c r="B110" s="764" t="s">
        <v>1064</v>
      </c>
      <c r="C110" s="839">
        <v>0.39240802471531144</v>
      </c>
      <c r="D110" s="833">
        <v>2.2423315698017799E-2</v>
      </c>
      <c r="E110" s="833">
        <v>0.36998470901729363</v>
      </c>
      <c r="F110" s="833">
        <v>0.11211657849008899</v>
      </c>
      <c r="G110" s="837"/>
      <c r="H110" s="839">
        <v>5.6058289245044496E-2</v>
      </c>
      <c r="I110" s="833" t="s">
        <v>452</v>
      </c>
      <c r="J110" s="837"/>
      <c r="K110" s="833">
        <v>5.6058289245044496E-2</v>
      </c>
      <c r="L110" s="833" t="s">
        <v>452</v>
      </c>
      <c r="M110" s="817"/>
      <c r="N110" s="817"/>
      <c r="O110" s="839">
        <v>7.8054087887058632</v>
      </c>
      <c r="P110" s="833">
        <v>0.44602335935462079</v>
      </c>
      <c r="Q110" s="833">
        <v>7.3593854293512413</v>
      </c>
      <c r="R110" s="833">
        <v>2.2301167967731037</v>
      </c>
      <c r="S110" s="832"/>
      <c r="T110" s="839">
        <v>1.1150583983865519</v>
      </c>
      <c r="U110" s="833" t="s">
        <v>452</v>
      </c>
      <c r="V110" s="837"/>
      <c r="W110" s="833">
        <v>1.1150583983865519</v>
      </c>
      <c r="X110" s="833" t="s">
        <v>452</v>
      </c>
      <c r="AB110" s="717"/>
    </row>
    <row r="111" spans="2:28">
      <c r="B111" s="764" t="s">
        <v>1065</v>
      </c>
      <c r="C111" s="839" t="s">
        <v>452</v>
      </c>
      <c r="D111" s="833" t="s">
        <v>452</v>
      </c>
      <c r="E111" s="833" t="s">
        <v>452</v>
      </c>
      <c r="F111" s="833" t="s">
        <v>452</v>
      </c>
      <c r="G111" s="837"/>
      <c r="H111" s="839" t="s">
        <v>452</v>
      </c>
      <c r="I111" s="833" t="s">
        <v>452</v>
      </c>
      <c r="J111" s="837"/>
      <c r="K111" s="833" t="s">
        <v>452</v>
      </c>
      <c r="L111" s="833" t="s">
        <v>452</v>
      </c>
      <c r="M111" s="817"/>
      <c r="N111" s="817"/>
      <c r="O111" s="839" t="s">
        <v>452</v>
      </c>
      <c r="P111" s="833" t="s">
        <v>452</v>
      </c>
      <c r="Q111" s="833" t="s">
        <v>452</v>
      </c>
      <c r="R111" s="833" t="s">
        <v>452</v>
      </c>
      <c r="S111" s="832"/>
      <c r="T111" s="839" t="s">
        <v>452</v>
      </c>
      <c r="U111" s="833" t="s">
        <v>452</v>
      </c>
      <c r="V111" s="837"/>
      <c r="W111" s="833" t="s">
        <v>452</v>
      </c>
      <c r="X111" s="833" t="s">
        <v>452</v>
      </c>
      <c r="AB111" s="717"/>
    </row>
    <row r="112" spans="2:28">
      <c r="B112" s="764" t="s">
        <v>1066</v>
      </c>
      <c r="C112" s="839">
        <v>2.6</v>
      </c>
      <c r="D112" s="833">
        <v>0.2</v>
      </c>
      <c r="E112" s="833">
        <v>2.4</v>
      </c>
      <c r="F112" s="833" t="s">
        <v>452</v>
      </c>
      <c r="G112" s="837"/>
      <c r="H112" s="839">
        <v>2.8</v>
      </c>
      <c r="I112" s="833" t="s">
        <v>452</v>
      </c>
      <c r="J112" s="837"/>
      <c r="K112" s="833">
        <v>2.8</v>
      </c>
      <c r="L112" s="833" t="s">
        <v>452</v>
      </c>
      <c r="M112" s="817"/>
      <c r="N112" s="817"/>
      <c r="O112" s="839">
        <v>2.2999999999999998</v>
      </c>
      <c r="P112" s="833">
        <v>0.3</v>
      </c>
      <c r="Q112" s="833">
        <v>1.9999999999999998</v>
      </c>
      <c r="R112" s="833" t="s">
        <v>452</v>
      </c>
      <c r="S112" s="832"/>
      <c r="T112" s="839">
        <v>2.2999999999999998</v>
      </c>
      <c r="U112" s="833" t="s">
        <v>452</v>
      </c>
      <c r="V112" s="837"/>
      <c r="W112" s="833">
        <v>2.2999999999999998</v>
      </c>
      <c r="X112" s="833" t="s">
        <v>452</v>
      </c>
      <c r="AB112" s="717"/>
    </row>
    <row r="113" spans="2:28">
      <c r="B113" s="764" t="s">
        <v>1067</v>
      </c>
      <c r="C113" s="839">
        <v>0.11695906432748537</v>
      </c>
      <c r="D113" s="833">
        <v>5.8479532163742687E-2</v>
      </c>
      <c r="E113" s="833">
        <v>5.8479532163742687E-2</v>
      </c>
      <c r="F113" s="833" t="s">
        <v>452</v>
      </c>
      <c r="G113" s="837"/>
      <c r="H113" s="839">
        <v>0.12865497076023391</v>
      </c>
      <c r="I113" s="833" t="s">
        <v>452</v>
      </c>
      <c r="J113" s="837"/>
      <c r="K113" s="833">
        <v>0.12865497076023391</v>
      </c>
      <c r="L113" s="833" t="s">
        <v>452</v>
      </c>
      <c r="M113" s="817"/>
      <c r="N113" s="817"/>
      <c r="O113" s="839">
        <v>1.140799484566634</v>
      </c>
      <c r="P113" s="833">
        <v>0.57039974228331702</v>
      </c>
      <c r="Q113" s="833">
        <v>0.57039974228331702</v>
      </c>
      <c r="R113" s="833" t="s">
        <v>452</v>
      </c>
      <c r="S113" s="832"/>
      <c r="T113" s="839">
        <v>1.2548794330232975</v>
      </c>
      <c r="U113" s="833" t="s">
        <v>452</v>
      </c>
      <c r="V113" s="837"/>
      <c r="W113" s="833">
        <v>1.2548794330232975</v>
      </c>
      <c r="X113" s="833" t="s">
        <v>452</v>
      </c>
      <c r="AB113" s="717"/>
    </row>
    <row r="114" spans="2:28">
      <c r="B114" s="764" t="s">
        <v>1068</v>
      </c>
      <c r="C114" s="839">
        <v>6.7118417245866134E-3</v>
      </c>
      <c r="D114" s="833">
        <v>0</v>
      </c>
      <c r="E114" s="833">
        <v>6.7118417245866134E-3</v>
      </c>
      <c r="F114" s="833" t="s">
        <v>452</v>
      </c>
      <c r="G114" s="837"/>
      <c r="H114" s="839">
        <v>6.7118417245866134E-3</v>
      </c>
      <c r="I114" s="833" t="s">
        <v>452</v>
      </c>
      <c r="J114" s="837"/>
      <c r="K114" s="833" t="s">
        <v>452</v>
      </c>
      <c r="L114" s="833">
        <v>6.7118417245866134E-3</v>
      </c>
      <c r="M114" s="817"/>
      <c r="N114" s="817"/>
      <c r="O114" s="839">
        <v>5.9311981020166078</v>
      </c>
      <c r="P114" s="833">
        <v>0</v>
      </c>
      <c r="Q114" s="833">
        <v>5.9311981020166078</v>
      </c>
      <c r="R114" s="833" t="s">
        <v>452</v>
      </c>
      <c r="S114" s="832"/>
      <c r="T114" s="839">
        <v>5.9311981020166078</v>
      </c>
      <c r="U114" s="833" t="s">
        <v>452</v>
      </c>
      <c r="V114" s="837"/>
      <c r="W114" s="833" t="s">
        <v>452</v>
      </c>
      <c r="X114" s="833">
        <v>5.9311981020166078</v>
      </c>
      <c r="AB114" s="717"/>
    </row>
    <row r="115" spans="2:28">
      <c r="B115" s="764" t="s">
        <v>963</v>
      </c>
      <c r="C115" s="840">
        <f>IF(ISNUMBER(INDEX(Database!$G$6:$G$197, MATCH($B115&amp;"USD bn", Database!$AD$6:$AD$197, 0))), INDEX(Database!$G$6:$G$197, MATCH($B115&amp;"USD bn", Database!$AD$6:$AD$197, 0)), "")</f>
        <v>0.6143669224556243</v>
      </c>
      <c r="D115" s="837">
        <f>IF(ISNUMBER(INDEX(Database!$H$6:$H$197, MATCH($B115&amp;"USD bn", Database!$AD$6:$AD$197, 0))), INDEX(Database!$H$6:$H$197, MATCH($B115&amp;"USD bn", Database!$AD$6:$AD$197, 0)), "")</f>
        <v>7.7721116696193429E-2</v>
      </c>
      <c r="E115" s="837">
        <f>IF(ISNUMBER(INDEX(Database!$J$6:$J$197, MATCH($B115&amp;"USD bn", Database!$AD$6:$AD$197, 0))), INDEX(Database!$J$6:$J$197, MATCH($B115&amp;"USD bn", Database!$AD$6:$AD$197, 0)), "")</f>
        <v>0.53664580575943077</v>
      </c>
      <c r="F115" s="833" t="str">
        <f>IF(ISNUMBER(INDEX(Database!$L$6:$L$197, MATCH($B115&amp;"USD bn", Database!$AD$6:$AD$197, 0))), INDEX(Database!$L$6:$L$197, MATCH($B115&amp;"USD bn", Database!$AD$6:$AD$197, 0)), "")</f>
        <v/>
      </c>
      <c r="G115" s="837"/>
      <c r="H115" s="840">
        <f>IF(ISNUMBER(INDEX(Database!$P$6:$P$197, MATCH($B115&amp;"USD bn", Database!$AD$6:$AD$197, 0))), INDEX(Database!$P$6:$P$197, MATCH($B115&amp;"USD bn", Database!$AD$6:$AD$197, 0)), "")</f>
        <v>0.37047065625185532</v>
      </c>
      <c r="I115" s="837" t="str">
        <f>IF(ISNUMBER(INDEX(Database!$Q$6:$Q$197, MATCH($B115&amp;"USD bn", Database!$AD$6:$AD$197, 0))), INDEX(Database!$Q$6:$Q$197, MATCH($B115&amp;"USD bn", Database!$AD$6:$AD$197, 0)), "")</f>
        <v/>
      </c>
      <c r="J115" s="837"/>
      <c r="K115" s="837">
        <f>IF(ISNUMBER(INDEX(Database!$U$6:$U$197, MATCH($B115&amp;"USD bn", Database!$AD$6:$AD$197, 0))), INDEX(Database!$U$6:$U$197, MATCH($B115&amp;"USD bn", Database!$AD$6:$AD$197, 0)), "")</f>
        <v>0.37047065625185532</v>
      </c>
      <c r="L115" s="837" t="str">
        <f>IF(ISNUMBER(INDEX(Database!$W$6:$W$197, MATCH($B115&amp;"USD bn", Database!$AD$6:$AD$197, 0))), INDEX(Database!$W$6:$W$197, MATCH($B115&amp;"USD bn", Database!$AD$6:$AD$197, 0)), "")</f>
        <v/>
      </c>
      <c r="M115" s="817"/>
      <c r="N115" s="817"/>
      <c r="O115" s="835">
        <f>IF(ISNUMBER(INDEX(Database!$G$6:$G$197, MATCH($B115&amp;"% GDP", Database!$AD$6:$AD$197, 0))), INDEX(Database!$G$6:$G$197, MATCH($B115&amp;"% GDP", Database!$AD$6:$AD$197, 0)), "")</f>
        <v>4.9999322298342346</v>
      </c>
      <c r="P115" s="836">
        <f>IF(ISNUMBER(INDEX(Database!$H$6:$H$197, MATCH($B115&amp;"% GDP", Database!$AD$6:$AD$197, 0))), INDEX(Database!$H$6:$H$197, MATCH($B115&amp;"% GDP", Database!$AD$6:$AD$197, 0)), "")</f>
        <v>0.63252154714770437</v>
      </c>
      <c r="Q115" s="836">
        <f>IF(ISNUMBER(INDEX(Database!$J$6:$J$197, MATCH($B115&amp;"% GDP", Database!$AD$6:$AD$197, 0))), INDEX(Database!$J$6:$J$197, MATCH($B115&amp;"% GDP", Database!$AD$6:$AD$197, 0)), "")</f>
        <v>4.36741068268653</v>
      </c>
      <c r="R115" s="836" t="str">
        <f>IF(ISNUMBER(INDEX(Database!$L$6:$L$197, MATCH($B115&amp;"% GDP", Database!$AD$6:$AD$197, 0))), INDEX(Database!$L$6:$L$197, MATCH($B115&amp;"% GDP", Database!$AD$6:$AD$197, 0)), "")</f>
        <v/>
      </c>
      <c r="S115" s="836"/>
      <c r="T115" s="835">
        <f>IF(ISNUMBER(INDEX(Database!$P$6:$P$197, MATCH($B115&amp;"% GDP", Database!$AD$6:$AD$197, 0))), INDEX(Database!$P$6:$P$197, MATCH($B115&amp;"% GDP", Database!$AD$6:$AD$197, 0)), "")</f>
        <v>3.0150193747373906</v>
      </c>
      <c r="U115" s="836" t="str">
        <f>IF(ISNUMBER(INDEX(Database!$Q$6:$Q$197, MATCH($B115&amp;"% GDP", Database!$AD$6:$AD$197, 0))), INDEX(Database!$Q$6:$Q$197, MATCH($B115&amp;"% GDP", Database!$AD$6:$AD$197, 0)), "")</f>
        <v/>
      </c>
      <c r="V115" s="836"/>
      <c r="W115" s="836">
        <f>IF(ISNUMBER(INDEX(Database!$U$6:$U$197, MATCH($B115&amp;"% GDP", Database!$AD$6:$AD$197, 0))), INDEX(Database!$U$6:$U$197, MATCH($B115&amp;"% GDP", Database!$AD$6:$AD$197, 0)), "")</f>
        <v>3.0150193747373906</v>
      </c>
      <c r="X115" s="836" t="str">
        <f>IF(ISNUMBER(INDEX(Database!$W$6:$W$197, MATCH($B115&amp;"% GDP", Database!$AD$6:$AD$197, 0))), INDEX(Database!$W$6:$W$197, MATCH($B115&amp;"% GDP", Database!$AD$6:$AD$197, 0)), "")</f>
        <v/>
      </c>
      <c r="AB115" s="717"/>
    </row>
    <row r="116" spans="2:28">
      <c r="B116" s="764" t="s">
        <v>1070</v>
      </c>
      <c r="C116" s="839" t="s">
        <v>452</v>
      </c>
      <c r="D116" s="833" t="s">
        <v>452</v>
      </c>
      <c r="E116" s="833" t="s">
        <v>452</v>
      </c>
      <c r="F116" s="833" t="s">
        <v>452</v>
      </c>
      <c r="G116" s="837"/>
      <c r="H116" s="839" t="s">
        <v>452</v>
      </c>
      <c r="I116" s="833" t="s">
        <v>452</v>
      </c>
      <c r="J116" s="837"/>
      <c r="K116" s="833" t="s">
        <v>452</v>
      </c>
      <c r="L116" s="833" t="s">
        <v>452</v>
      </c>
      <c r="M116" s="817"/>
      <c r="N116" s="817"/>
      <c r="O116" s="839" t="s">
        <v>452</v>
      </c>
      <c r="P116" s="833" t="s">
        <v>452</v>
      </c>
      <c r="Q116" s="833" t="s">
        <v>452</v>
      </c>
      <c r="R116" s="833" t="s">
        <v>452</v>
      </c>
      <c r="S116" s="832"/>
      <c r="T116" s="839" t="s">
        <v>452</v>
      </c>
      <c r="U116" s="833" t="s">
        <v>452</v>
      </c>
      <c r="V116" s="837"/>
      <c r="W116" s="833" t="s">
        <v>452</v>
      </c>
      <c r="X116" s="833" t="s">
        <v>452</v>
      </c>
      <c r="AB116" s="717"/>
    </row>
    <row r="117" spans="2:28">
      <c r="B117" s="764" t="s">
        <v>554</v>
      </c>
      <c r="C117" s="840">
        <f>IF(ISNUMBER(INDEX(Database!$G$6:$G$197, MATCH($B117&amp;"USD bn", Database!$AD$6:$AD$197, 0))), INDEX(Database!$G$6:$G$197, MATCH($B117&amp;"USD bn", Database!$AD$6:$AD$197, 0)), "")</f>
        <v>5.2148375564455147</v>
      </c>
      <c r="D117" s="837">
        <f>IF(ISNUMBER(INDEX(Database!$H$6:$H$197, MATCH($B117&amp;"USD bn", Database!$AD$6:$AD$197, 0))), INDEX(Database!$H$6:$H$197, MATCH($B117&amp;"USD bn", Database!$AD$6:$AD$197, 0)), "")</f>
        <v>1.1210641123759681</v>
      </c>
      <c r="E117" s="837">
        <f>IF(ISNUMBER(INDEX(Database!$J$6:$J$197, MATCH($B117&amp;"USD bn", Database!$AD$6:$AD$197, 0))), INDEX(Database!$J$6:$J$197, MATCH($B117&amp;"USD bn", Database!$AD$6:$AD$197, 0)), "")</f>
        <v>4.0937734440695461</v>
      </c>
      <c r="F117" s="833">
        <f>IF(ISNUMBER(INDEX(Database!$L$6:$L$197, MATCH($B117&amp;"USD bn", Database!$AD$6:$AD$197, 0))), INDEX(Database!$L$6:$L$197, MATCH($B117&amp;"USD bn", Database!$AD$6:$AD$197, 0)), "")</f>
        <v>3.0230942356205883</v>
      </c>
      <c r="G117" s="837"/>
      <c r="H117" s="840" t="str">
        <f>IF(ISNUMBER(INDEX(Database!$P$6:$P$197, MATCH($B117&amp;"USD bn", Database!$AD$6:$AD$197, 0))), INDEX(Database!$P$6:$P$197, MATCH($B117&amp;"USD bn", Database!$AD$6:$AD$197, 0)), "")</f>
        <v/>
      </c>
      <c r="I117" s="837" t="str">
        <f>IF(ISNUMBER(INDEX(Database!$Q$6:$Q$197, MATCH($B117&amp;"USD bn", Database!$AD$6:$AD$197, 0))), INDEX(Database!$Q$6:$Q$197, MATCH($B117&amp;"USD bn", Database!$AD$6:$AD$197, 0)), "")</f>
        <v/>
      </c>
      <c r="J117" s="837"/>
      <c r="K117" s="837" t="str">
        <f>IF(ISNUMBER(INDEX(Database!$U$6:$U$197, MATCH($B117&amp;"USD bn", Database!$AD$6:$AD$197, 0))), INDEX(Database!$U$6:$U$197, MATCH($B117&amp;"USD bn", Database!$AD$6:$AD$197, 0)), "")</f>
        <v/>
      </c>
      <c r="L117" s="837" t="str">
        <f>IF(ISNUMBER(INDEX(Database!$W$6:$W$197, MATCH($B117&amp;"USD bn", Database!$AD$6:$AD$197, 0))), INDEX(Database!$W$6:$W$197, MATCH($B117&amp;"USD bn", Database!$AD$6:$AD$197, 0)), "")</f>
        <v/>
      </c>
      <c r="M117" s="817"/>
      <c r="N117" s="817"/>
      <c r="O117" s="835">
        <f>IF(ISNUMBER(INDEX(Database!$G$6:$G$197, MATCH($B117&amp;"% GDP", Database!$AD$6:$AD$197, 0))), INDEX(Database!$G$6:$G$197, MATCH($B117&amp;"% GDP", Database!$AD$6:$AD$197, 0)), "")</f>
        <v>1.9924764282578782</v>
      </c>
      <c r="P117" s="836">
        <f>IF(ISNUMBER(INDEX(Database!$H$6:$H$197, MATCH($B117&amp;"% GDP", Database!$AD$6:$AD$197, 0))), INDEX(Database!$H$6:$H$197, MATCH($B117&amp;"% GDP", Database!$AD$6:$AD$197, 0)), "")</f>
        <v>0.42833430462548588</v>
      </c>
      <c r="Q117" s="836">
        <f>IF(ISNUMBER(INDEX(Database!$J$6:$J$197, MATCH($B117&amp;"% GDP", Database!$AD$6:$AD$197, 0))), INDEX(Database!$J$6:$J$197, MATCH($B117&amp;"% GDP", Database!$AD$6:$AD$197, 0)), "")</f>
        <v>1.5641421236323922</v>
      </c>
      <c r="R117" s="836">
        <f>IF(ISNUMBER(INDEX(Database!$L$6:$L$197, MATCH($B117&amp;"% GDP", Database!$AD$6:$AD$197, 0))), INDEX(Database!$L$6:$L$197, MATCH($B117&amp;"% GDP", Database!$AD$6:$AD$197, 0)), "")</f>
        <v>1.1550587989900742</v>
      </c>
      <c r="S117" s="836"/>
      <c r="T117" s="835" t="str">
        <f>IF(ISNUMBER(INDEX(Database!$P$6:$P$197, MATCH($B117&amp;"% GDP", Database!$AD$6:$AD$197, 0))), INDEX(Database!$P$6:$P$197, MATCH($B117&amp;"% GDP", Database!$AD$6:$AD$197, 0)), "")</f>
        <v/>
      </c>
      <c r="U117" s="836" t="str">
        <f>IF(ISNUMBER(INDEX(Database!$Q$6:$Q$197, MATCH($B117&amp;"% GDP", Database!$AD$6:$AD$197, 0))), INDEX(Database!$Q$6:$Q$197, MATCH($B117&amp;"% GDP", Database!$AD$6:$AD$197, 0)), "")</f>
        <v/>
      </c>
      <c r="V117" s="836"/>
      <c r="W117" s="836" t="str">
        <f>IF(ISNUMBER(INDEX(Database!$U$6:$U$197, MATCH($B117&amp;"% GDP", Database!$AD$6:$AD$197, 0))), INDEX(Database!$U$6:$U$197, MATCH($B117&amp;"% GDP", Database!$AD$6:$AD$197, 0)), "")</f>
        <v/>
      </c>
      <c r="X117" s="836" t="str">
        <f>IF(ISNUMBER(INDEX(Database!$W$6:$W$197, MATCH($B117&amp;"% GDP", Database!$AD$6:$AD$197, 0))), INDEX(Database!$W$6:$W$197, MATCH($B117&amp;"% GDP", Database!$AD$6:$AD$197, 0)), "")</f>
        <v/>
      </c>
      <c r="AB117" s="562"/>
    </row>
    <row r="118" spans="2:28">
      <c r="B118" s="764" t="s">
        <v>1071</v>
      </c>
      <c r="C118" s="839">
        <v>0.02</v>
      </c>
      <c r="D118" s="833">
        <v>0</v>
      </c>
      <c r="E118" s="833">
        <v>0.02</v>
      </c>
      <c r="F118" s="833" t="s">
        <v>452</v>
      </c>
      <c r="G118" s="837"/>
      <c r="H118" s="839" t="s">
        <v>452</v>
      </c>
      <c r="I118" s="833" t="s">
        <v>452</v>
      </c>
      <c r="J118" s="837"/>
      <c r="K118" s="833" t="s">
        <v>452</v>
      </c>
      <c r="L118" s="833" t="s">
        <v>452</v>
      </c>
      <c r="M118" s="817"/>
      <c r="N118" s="817"/>
      <c r="O118" s="839">
        <v>7.9698720195532191</v>
      </c>
      <c r="P118" s="833">
        <v>0</v>
      </c>
      <c r="Q118" s="833">
        <v>7.9698720195532191</v>
      </c>
      <c r="R118" s="833" t="s">
        <v>452</v>
      </c>
      <c r="S118" s="832"/>
      <c r="T118" s="839" t="s">
        <v>452</v>
      </c>
      <c r="U118" s="833" t="s">
        <v>452</v>
      </c>
      <c r="V118" s="837"/>
      <c r="W118" s="833" t="s">
        <v>452</v>
      </c>
      <c r="X118" s="833" t="s">
        <v>452</v>
      </c>
      <c r="AB118" s="717"/>
    </row>
    <row r="119" spans="2:28">
      <c r="B119" s="764" t="s">
        <v>1072</v>
      </c>
      <c r="C119" s="839">
        <v>1.8</v>
      </c>
      <c r="D119" s="833">
        <v>0.9</v>
      </c>
      <c r="E119" s="833">
        <v>0.9</v>
      </c>
      <c r="F119" s="833" t="s">
        <v>452</v>
      </c>
      <c r="G119" s="837"/>
      <c r="H119" s="839" t="s">
        <v>452</v>
      </c>
      <c r="I119" s="833" t="s">
        <v>452</v>
      </c>
      <c r="J119" s="837"/>
      <c r="K119" s="833" t="s">
        <v>452</v>
      </c>
      <c r="L119" s="833" t="s">
        <v>452</v>
      </c>
      <c r="M119" s="817"/>
      <c r="N119" s="817"/>
      <c r="O119" s="839">
        <v>2.9857586590044525</v>
      </c>
      <c r="P119" s="833">
        <v>1.4928793295022262</v>
      </c>
      <c r="Q119" s="833">
        <v>1.4928793295022262</v>
      </c>
      <c r="R119" s="833" t="s">
        <v>452</v>
      </c>
      <c r="S119" s="832"/>
      <c r="T119" s="839" t="s">
        <v>452</v>
      </c>
      <c r="U119" s="833" t="s">
        <v>452</v>
      </c>
      <c r="V119" s="837"/>
      <c r="W119" s="833" t="s">
        <v>452</v>
      </c>
      <c r="X119" s="833" t="s">
        <v>452</v>
      </c>
      <c r="AB119" s="717"/>
    </row>
    <row r="120" spans="2:28">
      <c r="B120" s="764" t="s">
        <v>1073</v>
      </c>
      <c r="C120" s="839">
        <v>0.92027059977651338</v>
      </c>
      <c r="D120" s="833" t="s">
        <v>452</v>
      </c>
      <c r="E120" s="833" t="s">
        <v>452</v>
      </c>
      <c r="F120" s="833" t="s">
        <v>452</v>
      </c>
      <c r="G120" s="837"/>
      <c r="H120" s="839" t="s">
        <v>452</v>
      </c>
      <c r="I120" s="833" t="s">
        <v>452</v>
      </c>
      <c r="J120" s="837"/>
      <c r="K120" s="833" t="s">
        <v>452</v>
      </c>
      <c r="L120" s="833" t="s">
        <v>452</v>
      </c>
      <c r="M120" s="817"/>
      <c r="N120" s="817"/>
      <c r="O120" s="839">
        <v>2.6023538290229582</v>
      </c>
      <c r="P120" s="833" t="s">
        <v>452</v>
      </c>
      <c r="Q120" s="833" t="s">
        <v>452</v>
      </c>
      <c r="R120" s="833" t="s">
        <v>452</v>
      </c>
      <c r="S120" s="832"/>
      <c r="T120" s="839" t="s">
        <v>452</v>
      </c>
      <c r="U120" s="833" t="s">
        <v>452</v>
      </c>
      <c r="V120" s="837"/>
      <c r="W120" s="833" t="s">
        <v>452</v>
      </c>
      <c r="X120" s="833" t="s">
        <v>452</v>
      </c>
      <c r="AB120" s="717"/>
    </row>
    <row r="121" spans="2:28">
      <c r="B121" s="764" t="s">
        <v>555</v>
      </c>
      <c r="C121" s="840">
        <f>IF(ISNUMBER(INDEX(Database!$G$6:$G$197, MATCH($B121&amp;"USD bn", Database!$AD$6:$AD$197, 0))), INDEX(Database!$G$6:$G$197, MATCH($B121&amp;"USD bn", Database!$AD$6:$AD$197, 0)), "")</f>
        <v>19.711394276042082</v>
      </c>
      <c r="D121" s="837">
        <f>IF(ISNUMBER(INDEX(Database!$H$6:$H$197, MATCH($B121&amp;"USD bn", Database!$AD$6:$AD$197, 0))), INDEX(Database!$H$6:$H$197, MATCH($B121&amp;"USD bn", Database!$AD$6:$AD$197, 0)), "")</f>
        <v>3.4452457296794692</v>
      </c>
      <c r="E121" s="837">
        <f>IF(ISNUMBER(INDEX(Database!$J$6:$J$197, MATCH($B121&amp;"USD bn", Database!$AD$6:$AD$197, 0))), INDEX(Database!$J$6:$J$197, MATCH($B121&amp;"USD bn", Database!$AD$6:$AD$197, 0)), "")</f>
        <v>16.266148546362611</v>
      </c>
      <c r="F121" s="833">
        <f>IF(ISNUMBER(INDEX(Database!$L$6:$L$197, MATCH($B121&amp;"USD bn", Database!$AD$6:$AD$197, 0))), INDEX(Database!$L$6:$L$197, MATCH($B121&amp;"USD bn", Database!$AD$6:$AD$197, 0)), "")</f>
        <v>3.4458178870704317</v>
      </c>
      <c r="G121" s="837"/>
      <c r="H121" s="840">
        <f>IF(ISNUMBER(INDEX(Database!$P$6:$P$197, MATCH($B121&amp;"USD bn", Database!$AD$6:$AD$197, 0))), INDEX(Database!$P$6:$P$197, MATCH($B121&amp;"USD bn", Database!$AD$6:$AD$197, 0)), "")</f>
        <v>19.796645727295466</v>
      </c>
      <c r="I121" s="837">
        <f>IF(ISNUMBER(INDEX(Database!$Q$6:$Q$197, MATCH($B121&amp;"USD bn", Database!$AD$6:$AD$197, 0))), INDEX(Database!$Q$6:$Q$197, MATCH($B121&amp;"USD bn", Database!$AD$6:$AD$197, 0)), "")</f>
        <v>0</v>
      </c>
      <c r="J121" s="837"/>
      <c r="K121" s="837">
        <f>IF(ISNUMBER(INDEX(Database!$U$6:$U$197, MATCH($B121&amp;"USD bn", Database!$AD$6:$AD$197, 0))), INDEX(Database!$U$6:$U$197, MATCH($B121&amp;"USD bn", Database!$AD$6:$AD$197, 0)), "")</f>
        <v>19.796645727295466</v>
      </c>
      <c r="L121" s="837" t="str">
        <f>IF(ISNUMBER(INDEX(Database!$W$6:$W$197, MATCH($B121&amp;"USD bn", Database!$AD$6:$AD$197, 0))), INDEX(Database!$W$6:$W$197, MATCH($B121&amp;"USD bn", Database!$AD$6:$AD$197, 0)), "")</f>
        <v/>
      </c>
      <c r="M121" s="817"/>
      <c r="N121" s="817"/>
      <c r="O121" s="835">
        <f>IF(ISNUMBER(INDEX(Database!$G$6:$G$197, MATCH($B121&amp;"% GDP", Database!$AD$6:$AD$197, 0))), INDEX(Database!$G$6:$G$197, MATCH($B121&amp;"% GDP", Database!$AD$6:$AD$197, 0)), "")</f>
        <v>9.5938667869694285</v>
      </c>
      <c r="P121" s="836">
        <f>IF(ISNUMBER(INDEX(Database!$H$6:$H$197, MATCH($B121&amp;"% GDP", Database!$AD$6:$AD$197, 0))), INDEX(Database!$H$6:$H$197, MATCH($B121&amp;"% GDP", Database!$AD$6:$AD$197, 0)), "")</f>
        <v>1.6768589839986185</v>
      </c>
      <c r="Q121" s="836">
        <f>IF(ISNUMBER(INDEX(Database!$J$6:$J$197, MATCH($B121&amp;"% GDP", Database!$AD$6:$AD$197, 0))), INDEX(Database!$J$6:$J$197, MATCH($B121&amp;"% GDP", Database!$AD$6:$AD$197, 0)), "")</f>
        <v>7.9170078029708097</v>
      </c>
      <c r="R121" s="836">
        <f>IF(ISNUMBER(INDEX(Database!$L$6:$L$197, MATCH($B121&amp;"% GDP", Database!$AD$6:$AD$197, 0))), INDEX(Database!$L$6:$L$197, MATCH($B121&amp;"% GDP", Database!$AD$6:$AD$197, 0)), "")</f>
        <v>1.6771374626142459</v>
      </c>
      <c r="S121" s="836"/>
      <c r="T121" s="835">
        <f>IF(ISNUMBER(INDEX(Database!$P$6:$P$197, MATCH($B121&amp;"% GDP", Database!$AD$6:$AD$197, 0))), INDEX(Database!$P$6:$P$197, MATCH($B121&amp;"% GDP", Database!$AD$6:$AD$197, 0)), "")</f>
        <v>9.6353601006978682</v>
      </c>
      <c r="U121" s="836">
        <f>IF(ISNUMBER(INDEX(Database!$Q$6:$Q$197, MATCH($B121&amp;"% GDP", Database!$AD$6:$AD$197, 0))), INDEX(Database!$Q$6:$Q$197, MATCH($B121&amp;"% GDP", Database!$AD$6:$AD$197, 0)), "")</f>
        <v>0</v>
      </c>
      <c r="V121" s="836"/>
      <c r="W121" s="836">
        <f>IF(ISNUMBER(INDEX(Database!$U$6:$U$197, MATCH($B121&amp;"% GDP", Database!$AD$6:$AD$197, 0))), INDEX(Database!$U$6:$U$197, MATCH($B121&amp;"% GDP", Database!$AD$6:$AD$197, 0)), "")</f>
        <v>9.6353601006978682</v>
      </c>
      <c r="X121" s="836" t="str">
        <f>IF(ISNUMBER(INDEX(Database!$W$6:$W$197, MATCH($B121&amp;"% GDP", Database!$AD$6:$AD$197, 0))), INDEX(Database!$W$6:$W$197, MATCH($B121&amp;"% GDP", Database!$AD$6:$AD$197, 0)), "")</f>
        <v/>
      </c>
      <c r="AB121" s="562"/>
    </row>
    <row r="122" spans="2:28">
      <c r="B122" s="764" t="s">
        <v>556</v>
      </c>
      <c r="C122" s="840">
        <f>IF(ISNUMBER(INDEX(Database!$G$6:$G$197, MATCH($B122&amp;"USD bn", Database!$AD$6:$AD$197, 0))), INDEX(Database!$G$6:$G$197, MATCH($B122&amp;"USD bn", Database!$AD$6:$AD$197, 0)), "")</f>
        <v>16.101047676431413</v>
      </c>
      <c r="D122" s="837">
        <f>IF(ISNUMBER(INDEX(Database!$H$6:$H$197, MATCH($B122&amp;"USD bn", Database!$AD$6:$AD$197, 0))), INDEX(Database!$H$6:$H$197, MATCH($B122&amp;"USD bn", Database!$AD$6:$AD$197, 0)), "")</f>
        <v>3.2846943319878852</v>
      </c>
      <c r="E122" s="837">
        <f>IF(ISNUMBER(INDEX(Database!$J$6:$J$197, MATCH($B122&amp;"USD bn", Database!$AD$6:$AD$197, 0))), INDEX(Database!$J$6:$J$197, MATCH($B122&amp;"USD bn", Database!$AD$6:$AD$197, 0)), "")</f>
        <v>12.816353344443527</v>
      </c>
      <c r="F122" s="833" t="str">
        <f>IF(ISNUMBER(INDEX(Database!$L$6:$L$197, MATCH($B122&amp;"USD bn", Database!$AD$6:$AD$197, 0))), INDEX(Database!$L$6:$L$197, MATCH($B122&amp;"USD bn", Database!$AD$6:$AD$197, 0)), "")</f>
        <v/>
      </c>
      <c r="G122" s="837"/>
      <c r="H122" s="840">
        <f>IF(ISNUMBER(INDEX(Database!$P$6:$P$197, MATCH($B122&amp;"USD bn", Database!$AD$6:$AD$197, 0))), INDEX(Database!$P$6:$P$197, MATCH($B122&amp;"USD bn", Database!$AD$6:$AD$197, 0)), "")</f>
        <v>2.1159073917713367</v>
      </c>
      <c r="I122" s="837">
        <f>IF(ISNUMBER(INDEX(Database!$Q$6:$Q$197, MATCH($B122&amp;"USD bn", Database!$AD$6:$AD$197, 0))), INDEX(Database!$Q$6:$Q$197, MATCH($B122&amp;"USD bn", Database!$AD$6:$AD$197, 0)), "")</f>
        <v>0.10075749484625414</v>
      </c>
      <c r="J122" s="837"/>
      <c r="K122" s="837">
        <f>IF(ISNUMBER(INDEX(Database!$U$6:$U$197, MATCH($B122&amp;"USD bn", Database!$AD$6:$AD$197, 0))), INDEX(Database!$U$6:$U$197, MATCH($B122&amp;"USD bn", Database!$AD$6:$AD$197, 0)), "")</f>
        <v>2.0151498969250827</v>
      </c>
      <c r="L122" s="837" t="str">
        <f>IF(ISNUMBER(INDEX(Database!$W$6:$W$197, MATCH($B122&amp;"USD bn", Database!$AD$6:$AD$197, 0))), INDEX(Database!$W$6:$W$197, MATCH($B122&amp;"USD bn", Database!$AD$6:$AD$197, 0)), "")</f>
        <v/>
      </c>
      <c r="M122" s="817"/>
      <c r="N122" s="817"/>
      <c r="O122" s="835">
        <f>IF(ISNUMBER(INDEX(Database!$G$6:$G$197, MATCH($B122&amp;"% GDP", Database!$AD$6:$AD$197, 0))), INDEX(Database!$G$6:$G$197, MATCH($B122&amp;"% GDP", Database!$AD$6:$AD$197, 0)), "")</f>
        <v>4.4540862311094349</v>
      </c>
      <c r="P122" s="836">
        <f>IF(ISNUMBER(INDEX(Database!$H$6:$H$197, MATCH($B122&amp;"% GDP", Database!$AD$6:$AD$197, 0))), INDEX(Database!$H$6:$H$197, MATCH($B122&amp;"% GDP", Database!$AD$6:$AD$197, 0)), "")</f>
        <v>0.90865588945036024</v>
      </c>
      <c r="Q122" s="836">
        <f>IF(ISNUMBER(INDEX(Database!$J$6:$J$197, MATCH($B122&amp;"% GDP", Database!$AD$6:$AD$197, 0))), INDEX(Database!$J$6:$J$197, MATCH($B122&amp;"% GDP", Database!$AD$6:$AD$197, 0)), "")</f>
        <v>3.545430341659074</v>
      </c>
      <c r="R122" s="836" t="str">
        <f>IF(ISNUMBER(INDEX(Database!$L$6:$L$197, MATCH($B122&amp;"% GDP", Database!$AD$6:$AD$197, 0))), INDEX(Database!$L$6:$L$197, MATCH($B122&amp;"% GDP", Database!$AD$6:$AD$197, 0)), "")</f>
        <v/>
      </c>
      <c r="S122" s="836"/>
      <c r="T122" s="835">
        <f>IF(ISNUMBER(INDEX(Database!$P$6:$P$197, MATCH($B122&amp;"% GDP", Database!$AD$6:$AD$197, 0))), INDEX(Database!$P$6:$P$197, MATCH($B122&amp;"% GDP", Database!$AD$6:$AD$197, 0)), "")</f>
        <v>0.58533048093428119</v>
      </c>
      <c r="U122" s="836">
        <f>IF(ISNUMBER(INDEX(Database!$Q$6:$Q$197, MATCH($B122&amp;"% GDP", Database!$AD$6:$AD$197, 0))), INDEX(Database!$Q$6:$Q$197, MATCH($B122&amp;"% GDP", Database!$AD$6:$AD$197, 0)), "")</f>
        <v>2.7872880044489574E-2</v>
      </c>
      <c r="V122" s="836"/>
      <c r="W122" s="836">
        <f>IF(ISNUMBER(INDEX(Database!$U$6:$U$197, MATCH($B122&amp;"% GDP", Database!$AD$6:$AD$197, 0))), INDEX(Database!$U$6:$U$197, MATCH($B122&amp;"% GDP", Database!$AD$6:$AD$197, 0)), "")</f>
        <v>0.55745760088979157</v>
      </c>
      <c r="X122" s="836" t="str">
        <f>IF(ISNUMBER(INDEX(Database!$W$6:$W$197, MATCH($B122&amp;"% GDP", Database!$AD$6:$AD$197, 0))), INDEX(Database!$W$6:$W$197, MATCH($B122&amp;"% GDP", Database!$AD$6:$AD$197, 0)), "")</f>
        <v/>
      </c>
      <c r="AB122" s="562"/>
    </row>
    <row r="123" spans="2:28">
      <c r="B123" s="764" t="s">
        <v>22</v>
      </c>
      <c r="C123" s="840">
        <f>IF(ISNUMBER(INDEX(Database!$G$6:$G$197, MATCH($B123&amp;"USD bn", Database!$AD$6:$AD$197, 0))), INDEX(Database!$G$6:$G$197, MATCH($B123&amp;"USD bn", Database!$AD$6:$AD$197, 0)), "")</f>
        <v>38.516359409090974</v>
      </c>
      <c r="D123" s="837">
        <f>IF(ISNUMBER(INDEX(Database!$H$6:$H$197, MATCH($B123&amp;"USD bn", Database!$AD$6:$AD$197, 0))), INDEX(Database!$H$6:$H$197, MATCH($B123&amp;"USD bn", Database!$AD$6:$AD$197, 0)), "")</f>
        <v>3.7695771192652283</v>
      </c>
      <c r="E123" s="837">
        <f>IF(ISNUMBER(INDEX(Database!$J$6:$J$197, MATCH($B123&amp;"USD bn", Database!$AD$6:$AD$197, 0))), INDEX(Database!$J$6:$J$197, MATCH($B123&amp;"USD bn", Database!$AD$6:$AD$197, 0)), "")</f>
        <v>34.746782289825745</v>
      </c>
      <c r="F123" s="833" t="str">
        <f>IF(ISNUMBER(INDEX(Database!$L$6:$L$197, MATCH($B123&amp;"USD bn", Database!$AD$6:$AD$197, 0))), INDEX(Database!$L$6:$L$197, MATCH($B123&amp;"USD bn", Database!$AD$6:$AD$197, 0)), "")</f>
        <v/>
      </c>
      <c r="G123" s="837"/>
      <c r="H123" s="840">
        <f>IF(ISNUMBER(INDEX(Database!$P$6:$P$197, MATCH($B123&amp;"USD bn", Database!$AD$6:$AD$197, 0))), INDEX(Database!$P$6:$P$197, MATCH($B123&amp;"USD bn", Database!$AD$6:$AD$197, 0)), "")</f>
        <v>28.720587575354124</v>
      </c>
      <c r="I123" s="837">
        <f>IF(ISNUMBER(INDEX(Database!$Q$6:$Q$197, MATCH($B123&amp;"USD bn", Database!$AD$6:$AD$197, 0))), INDEX(Database!$Q$6:$Q$197, MATCH($B123&amp;"USD bn", Database!$AD$6:$AD$197, 0)), "")</f>
        <v>9.7444850702094339</v>
      </c>
      <c r="J123" s="837"/>
      <c r="K123" s="837">
        <f>IF(ISNUMBER(INDEX(Database!$U$6:$U$197, MATCH($B123&amp;"USD bn", Database!$AD$6:$AD$197, 0))), INDEX(Database!$U$6:$U$197, MATCH($B123&amp;"USD bn", Database!$AD$6:$AD$197, 0)), "")</f>
        <v>18.976102505144688</v>
      </c>
      <c r="L123" s="837" t="str">
        <f>IF(ISNUMBER(INDEX(Database!$W$6:$W$197, MATCH($B123&amp;"USD bn", Database!$AD$6:$AD$197, 0))), INDEX(Database!$W$6:$W$197, MATCH($B123&amp;"USD bn", Database!$AD$6:$AD$197, 0)), "")</f>
        <v/>
      </c>
      <c r="M123" s="817"/>
      <c r="N123" s="817"/>
      <c r="O123" s="835">
        <f>IF(ISNUMBER(INDEX(Database!$G$6:$G$197, MATCH($B123&amp;"% GDP", Database!$AD$6:$AD$197, 0))), INDEX(Database!$G$6:$G$197, MATCH($B123&amp;"% GDP", Database!$AD$6:$AD$197, 0)), "")</f>
        <v>6.463386978297736</v>
      </c>
      <c r="P123" s="836">
        <f>IF(ISNUMBER(INDEX(Database!$H$6:$H$197, MATCH($B123&amp;"% GDP", Database!$AD$6:$AD$197, 0))), INDEX(Database!$H$6:$H$197, MATCH($B123&amp;"% GDP", Database!$AD$6:$AD$197, 0)), "")</f>
        <v>0.63256849920756808</v>
      </c>
      <c r="Q123" s="836">
        <f>IF(ISNUMBER(INDEX(Database!$J$6:$J$197, MATCH($B123&amp;"% GDP", Database!$AD$6:$AD$197, 0))), INDEX(Database!$J$6:$J$197, MATCH($B123&amp;"% GDP", Database!$AD$6:$AD$197, 0)), "")</f>
        <v>5.8308184790901691</v>
      </c>
      <c r="R123" s="836" t="str">
        <f>IF(ISNUMBER(INDEX(Database!$L$6:$L$197, MATCH($B123&amp;"% GDP", Database!$AD$6:$AD$197, 0))), INDEX(Database!$L$6:$L$197, MATCH($B123&amp;"% GDP", Database!$AD$6:$AD$197, 0)), "")</f>
        <v/>
      </c>
      <c r="S123" s="836"/>
      <c r="T123" s="835">
        <f>IF(ISNUMBER(INDEX(Database!$P$6:$P$197, MATCH($B123&amp;"% GDP", Database!$AD$6:$AD$197, 0))), INDEX(Database!$P$6:$P$197, MATCH($B123&amp;"% GDP", Database!$AD$6:$AD$197, 0)), "")</f>
        <v>4.8195695177719475</v>
      </c>
      <c r="U123" s="836">
        <f>IF(ISNUMBER(INDEX(Database!$Q$6:$Q$197, MATCH($B123&amp;"% GDP", Database!$AD$6:$AD$197, 0))), INDEX(Database!$Q$6:$Q$197, MATCH($B123&amp;"% GDP", Database!$AD$6:$AD$197, 0)), "")</f>
        <v>1.6352110863869107</v>
      </c>
      <c r="V123" s="836"/>
      <c r="W123" s="836">
        <f>IF(ISNUMBER(INDEX(Database!$U$6:$U$197, MATCH($B123&amp;"% GDP", Database!$AD$6:$AD$197, 0))), INDEX(Database!$U$6:$U$197, MATCH($B123&amp;"% GDP", Database!$AD$6:$AD$197, 0)), "")</f>
        <v>3.184358431385037</v>
      </c>
      <c r="X123" s="836" t="str">
        <f>IF(ISNUMBER(INDEX(Database!$W$6:$W$197, MATCH($B123&amp;"% GDP", Database!$AD$6:$AD$197, 0))), INDEX(Database!$W$6:$W$197, MATCH($B123&amp;"% GDP", Database!$AD$6:$AD$197, 0)), "")</f>
        <v/>
      </c>
      <c r="AB123" s="562"/>
    </row>
    <row r="124" spans="2:28">
      <c r="B124" s="764" t="s">
        <v>1074</v>
      </c>
      <c r="C124" s="839">
        <v>0.36263736263736263</v>
      </c>
      <c r="D124" s="833" t="s">
        <v>452</v>
      </c>
      <c r="E124" s="833" t="s">
        <v>452</v>
      </c>
      <c r="F124" s="833" t="s">
        <v>452</v>
      </c>
      <c r="G124" s="837"/>
      <c r="H124" s="839" t="s">
        <v>452</v>
      </c>
      <c r="I124" s="833" t="s">
        <v>452</v>
      </c>
      <c r="J124" s="837"/>
      <c r="K124" s="833" t="s">
        <v>452</v>
      </c>
      <c r="L124" s="833" t="s">
        <v>452</v>
      </c>
      <c r="M124" s="817"/>
      <c r="N124" s="817"/>
      <c r="O124" s="839">
        <v>0.23542966175926955</v>
      </c>
      <c r="P124" s="833" t="s">
        <v>452</v>
      </c>
      <c r="Q124" s="833" t="s">
        <v>452</v>
      </c>
      <c r="R124" s="833" t="s">
        <v>452</v>
      </c>
      <c r="S124" s="832"/>
      <c r="T124" s="839" t="s">
        <v>452</v>
      </c>
      <c r="U124" s="833" t="s">
        <v>452</v>
      </c>
      <c r="V124" s="837"/>
      <c r="W124" s="833" t="s">
        <v>452</v>
      </c>
      <c r="X124" s="833" t="s">
        <v>452</v>
      </c>
      <c r="AB124" s="717"/>
    </row>
    <row r="125" spans="2:28">
      <c r="B125" s="764" t="s">
        <v>557</v>
      </c>
      <c r="C125" s="840">
        <f>IF(ISNUMBER(INDEX(Database!$G$6:$G$197, MATCH($B125&amp;"USD bn", Database!$AD$6:$AD$197, 0))), INDEX(Database!$G$6:$G$197, MATCH($B125&amp;"USD bn", Database!$AD$6:$AD$197, 0)), "")</f>
        <v>8.4825802752518751</v>
      </c>
      <c r="D125" s="837">
        <f>IF(ISNUMBER(INDEX(Database!$H$6:$H$197, MATCH($B125&amp;"USD bn", Database!$AD$6:$AD$197, 0))), INDEX(Database!$H$6:$H$197, MATCH($B125&amp;"USD bn", Database!$AD$6:$AD$197, 0)), "")</f>
        <v>2.3562722986810765</v>
      </c>
      <c r="E125" s="837">
        <f>IF(ISNUMBER(INDEX(Database!$J$6:$J$197, MATCH($B125&amp;"USD bn", Database!$AD$6:$AD$197, 0))), INDEX(Database!$J$6:$J$197, MATCH($B125&amp;"USD bn", Database!$AD$6:$AD$197, 0)), "")</f>
        <v>6.1263079765707982</v>
      </c>
      <c r="F125" s="833">
        <f>IF(ISNUMBER(INDEX(Database!$L$6:$L$197, MATCH($B125&amp;"USD bn", Database!$AD$6:$AD$197, 0))), INDEX(Database!$L$6:$L$197, MATCH($B125&amp;"USD bn", Database!$AD$6:$AD$197, 0)), "")</f>
        <v>0.54194262869664755</v>
      </c>
      <c r="G125" s="837"/>
      <c r="H125" s="840">
        <f>IF(ISNUMBER(INDEX(Database!$P$6:$P$197, MATCH($B125&amp;"USD bn", Database!$AD$6:$AD$197, 0))), INDEX(Database!$P$6:$P$197, MATCH($B125&amp;"USD bn", Database!$AD$6:$AD$197, 0)), "")</f>
        <v>10.391160837183547</v>
      </c>
      <c r="I125" s="837">
        <f>IF(ISNUMBER(INDEX(Database!$Q$6:$Q$197, MATCH($B125&amp;"USD bn", Database!$AD$6:$AD$197, 0))), INDEX(Database!$Q$6:$Q$197, MATCH($B125&amp;"USD bn", Database!$AD$6:$AD$197, 0)), "")</f>
        <v>0.40056629077578298</v>
      </c>
      <c r="J125" s="837"/>
      <c r="K125" s="837">
        <f>IF(ISNUMBER(INDEX(Database!$U$6:$U$197, MATCH($B125&amp;"USD bn", Database!$AD$6:$AD$197, 0))), INDEX(Database!$U$6:$U$197, MATCH($B125&amp;"USD bn", Database!$AD$6:$AD$197, 0)), "")</f>
        <v>9.9905945464077632</v>
      </c>
      <c r="L125" s="837" t="str">
        <f>IF(ISNUMBER(INDEX(Database!$W$6:$W$197, MATCH($B125&amp;"USD bn", Database!$AD$6:$AD$197, 0))), INDEX(Database!$W$6:$W$197, MATCH($B125&amp;"USD bn", Database!$AD$6:$AD$197, 0)), "")</f>
        <v/>
      </c>
      <c r="M125" s="817"/>
      <c r="N125" s="817"/>
      <c r="O125" s="835">
        <f>IF(ISNUMBER(INDEX(Database!$G$6:$G$197, MATCH($B125&amp;"% GDP", Database!$AD$6:$AD$197, 0))), INDEX(Database!$G$6:$G$197, MATCH($B125&amp;"% GDP", Database!$AD$6:$AD$197, 0)), "")</f>
        <v>3.4105481432975906</v>
      </c>
      <c r="P125" s="836">
        <f>IF(ISNUMBER(INDEX(Database!$H$6:$H$197, MATCH($B125&amp;"% GDP", Database!$AD$6:$AD$197, 0))), INDEX(Database!$H$6:$H$197, MATCH($B125&amp;"% GDP", Database!$AD$6:$AD$197, 0)), "")</f>
        <v>0.94737448424933068</v>
      </c>
      <c r="Q125" s="836">
        <f>IF(ISNUMBER(INDEX(Database!$J$6:$J$197, MATCH($B125&amp;"% GDP", Database!$AD$6:$AD$197, 0))), INDEX(Database!$J$6:$J$197, MATCH($B125&amp;"% GDP", Database!$AD$6:$AD$197, 0)), "")</f>
        <v>2.4631736590482598</v>
      </c>
      <c r="R125" s="836">
        <f>IF(ISNUMBER(INDEX(Database!$L$6:$L$197, MATCH($B125&amp;"% GDP", Database!$AD$6:$AD$197, 0))), INDEX(Database!$L$6:$L$197, MATCH($B125&amp;"% GDP", Database!$AD$6:$AD$197, 0)), "")</f>
        <v>0.21789613137734604</v>
      </c>
      <c r="S125" s="836"/>
      <c r="T125" s="835">
        <f>IF(ISNUMBER(INDEX(Database!$P$6:$P$197, MATCH($B125&amp;"% GDP", Database!$AD$6:$AD$197, 0))), INDEX(Database!$P$6:$P$197, MATCH($B125&amp;"% GDP", Database!$AD$6:$AD$197, 0)), "")</f>
        <v>4.1779214755395486</v>
      </c>
      <c r="U125" s="836">
        <f>IF(ISNUMBER(INDEX(Database!$Q$6:$Q$197, MATCH($B125&amp;"% GDP", Database!$AD$6:$AD$197, 0))), INDEX(Database!$Q$6:$Q$197, MATCH($B125&amp;"% GDP", Database!$AD$6:$AD$197, 0)), "")</f>
        <v>0.16105366232238622</v>
      </c>
      <c r="V125" s="836"/>
      <c r="W125" s="836">
        <f>IF(ISNUMBER(INDEX(Database!$U$6:$U$197, MATCH($B125&amp;"% GDP", Database!$AD$6:$AD$197, 0))), INDEX(Database!$U$6:$U$197, MATCH($B125&amp;"% GDP", Database!$AD$6:$AD$197, 0)), "")</f>
        <v>4.0168678132171625</v>
      </c>
      <c r="X125" s="836" t="str">
        <f>IF(ISNUMBER(INDEX(Database!$W$6:$W$197, MATCH($B125&amp;"% GDP", Database!$AD$6:$AD$197, 0))), INDEX(Database!$W$6:$W$197, MATCH($B125&amp;"% GDP", Database!$AD$6:$AD$197, 0)), "")</f>
        <v/>
      </c>
      <c r="AB125" s="562"/>
    </row>
    <row r="126" spans="2:28">
      <c r="B126" s="764" t="s">
        <v>1075</v>
      </c>
      <c r="C126" s="839">
        <v>5.743576428859723E-2</v>
      </c>
      <c r="D126" s="833">
        <v>7.6581019051462978E-3</v>
      </c>
      <c r="E126" s="833">
        <v>4.9777662383450938E-2</v>
      </c>
      <c r="F126" s="833">
        <v>1.9145254762865747E-2</v>
      </c>
      <c r="G126" s="837"/>
      <c r="H126" s="839">
        <v>2.2974305715438893E-2</v>
      </c>
      <c r="I126" s="833" t="s">
        <v>452</v>
      </c>
      <c r="J126" s="837"/>
      <c r="K126" s="833" t="s">
        <v>452</v>
      </c>
      <c r="L126" s="833">
        <v>2.2974305715438893E-2</v>
      </c>
      <c r="M126" s="817"/>
      <c r="N126" s="817"/>
      <c r="O126" s="839">
        <v>6.8413431986842177</v>
      </c>
      <c r="P126" s="833">
        <v>0.91217909315789569</v>
      </c>
      <c r="Q126" s="833">
        <v>5.929164105526322</v>
      </c>
      <c r="R126" s="833">
        <v>2.2804477328947392</v>
      </c>
      <c r="S126" s="832"/>
      <c r="T126" s="839">
        <v>2.7365372794736871</v>
      </c>
      <c r="U126" s="833" t="s">
        <v>452</v>
      </c>
      <c r="V126" s="837"/>
      <c r="W126" s="833" t="s">
        <v>452</v>
      </c>
      <c r="X126" s="833">
        <v>2.7365372794736871</v>
      </c>
      <c r="AB126" s="717"/>
    </row>
    <row r="127" spans="2:28">
      <c r="B127" s="764" t="s">
        <v>953</v>
      </c>
      <c r="C127" s="840">
        <f>IF(ISNUMBER(INDEX(Database!$G$6:$G$197, MATCH($B127&amp;"USD bn", Database!$AD$6:$AD$197, 0))), INDEX(Database!$G$6:$G$197, MATCH($B127&amp;"USD bn", Database!$AD$6:$AD$197, 0)), "")</f>
        <v>6.4363979597070609</v>
      </c>
      <c r="D127" s="837">
        <f>IF(ISNUMBER(INDEX(Database!$H$6:$H$197, MATCH($B127&amp;"USD bn", Database!$AD$6:$AD$197, 0))), INDEX(Database!$H$6:$H$197, MATCH($B127&amp;"USD bn", Database!$AD$6:$AD$197, 0)), "")</f>
        <v>1.2116713026556967</v>
      </c>
      <c r="E127" s="837">
        <f>IF(ISNUMBER(INDEX(Database!$J$6:$J$197, MATCH($B127&amp;"USD bn", Database!$AD$6:$AD$197, 0))), INDEX(Database!$J$6:$J$197, MATCH($B127&amp;"USD bn", Database!$AD$6:$AD$197, 0)), "")</f>
        <v>5.2247266570513649</v>
      </c>
      <c r="F127" s="833">
        <f>IF(ISNUMBER(INDEX(Database!$L$6:$L$197, MATCH($B127&amp;"USD bn", Database!$AD$6:$AD$197, 0))), INDEX(Database!$L$6:$L$197, MATCH($B127&amp;"USD bn", Database!$AD$6:$AD$197, 0)), "")</f>
        <v>1.434618822344345</v>
      </c>
      <c r="G127" s="837"/>
      <c r="H127" s="840">
        <f>IF(ISNUMBER(INDEX(Database!$P$6:$P$197, MATCH($B127&amp;"USD bn", Database!$AD$6:$AD$197, 0))), INDEX(Database!$P$6:$P$197, MATCH($B127&amp;"USD bn", Database!$AD$6:$AD$197, 0)), "")</f>
        <v>1.6963398237179754</v>
      </c>
      <c r="I127" s="837" t="str">
        <f>IF(ISNUMBER(INDEX(Database!$Q$6:$Q$197, MATCH($B127&amp;"USD bn", Database!$AD$6:$AD$197, 0))), INDEX(Database!$Q$6:$Q$197, MATCH($B127&amp;"USD bn", Database!$AD$6:$AD$197, 0)), "")</f>
        <v/>
      </c>
      <c r="J127" s="837"/>
      <c r="K127" s="837">
        <f>IF(ISNUMBER(INDEX(Database!$U$6:$U$197, MATCH($B127&amp;"USD bn", Database!$AD$6:$AD$197, 0))), INDEX(Database!$U$6:$U$197, MATCH($B127&amp;"USD bn", Database!$AD$6:$AD$197, 0)), "")</f>
        <v>1.6963398237179754</v>
      </c>
      <c r="L127" s="837">
        <f>IF(ISNUMBER(INDEX(Database!$W$6:$W$197, MATCH($B127&amp;"USD bn", Database!$AD$6:$AD$197, 0))), INDEX(Database!$W$6:$W$197, MATCH($B127&amp;"USD bn", Database!$AD$6:$AD$197, 0)), "")</f>
        <v>0</v>
      </c>
      <c r="M127" s="817"/>
      <c r="N127" s="817"/>
      <c r="O127" s="835">
        <f>IF(ISNUMBER(INDEX(Database!$G$6:$G$197, MATCH($B127&amp;"% GDP", Database!$AD$6:$AD$197, 0))), INDEX(Database!$G$6:$G$197, MATCH($B127&amp;"% GDP", Database!$AD$6:$AD$197, 0)), "")</f>
        <v>12.153288105042478</v>
      </c>
      <c r="P127" s="836">
        <f>IF(ISNUMBER(INDEX(Database!$H$6:$H$197, MATCH($B127&amp;"% GDP", Database!$AD$6:$AD$197, 0))), INDEX(Database!$H$6:$H$197, MATCH($B127&amp;"% GDP", Database!$AD$6:$AD$197, 0)), "")</f>
        <v>2.2878930920637197</v>
      </c>
      <c r="Q127" s="836">
        <f>IF(ISNUMBER(INDEX(Database!$J$6:$J$197, MATCH($B127&amp;"% GDP", Database!$AD$6:$AD$197, 0))), INDEX(Database!$J$6:$J$197, MATCH($B127&amp;"% GDP", Database!$AD$6:$AD$197, 0)), "")</f>
        <v>9.8653950129787589</v>
      </c>
      <c r="R127" s="836">
        <f>IF(ISNUMBER(INDEX(Database!$L$6:$L$197, MATCH($B127&amp;"% GDP", Database!$AD$6:$AD$197, 0))), INDEX(Database!$L$6:$L$197, MATCH($B127&amp;"% GDP", Database!$AD$6:$AD$197, 0)), "")</f>
        <v>2.708865421003444</v>
      </c>
      <c r="S127" s="836"/>
      <c r="T127" s="835">
        <f>IF(ISNUMBER(INDEX(Database!$P$6:$P$197, MATCH($B127&amp;"% GDP", Database!$AD$6:$AD$197, 0))), INDEX(Database!$P$6:$P$197, MATCH($B127&amp;"% GDP", Database!$AD$6:$AD$197, 0)), "")</f>
        <v>3.203050328889208</v>
      </c>
      <c r="U127" s="836" t="str">
        <f>IF(ISNUMBER(INDEX(Database!$Q$6:$Q$197, MATCH($B127&amp;"% GDP", Database!$AD$6:$AD$197, 0))), INDEX(Database!$Q$6:$Q$197, MATCH($B127&amp;"% GDP", Database!$AD$6:$AD$197, 0)), "")</f>
        <v/>
      </c>
      <c r="V127" s="836"/>
      <c r="W127" s="836">
        <f>IF(ISNUMBER(INDEX(Database!$U$6:$U$197, MATCH($B127&amp;"% GDP", Database!$AD$6:$AD$197, 0))), INDEX(Database!$U$6:$U$197, MATCH($B127&amp;"% GDP", Database!$AD$6:$AD$197, 0)), "")</f>
        <v>3.203050328889208</v>
      </c>
      <c r="X127" s="836">
        <f>IF(ISNUMBER(INDEX(Database!$W$6:$W$197, MATCH($B127&amp;"% GDP", Database!$AD$6:$AD$197, 0))), INDEX(Database!$W$6:$W$197, MATCH($B127&amp;"% GDP", Database!$AD$6:$AD$197, 0)), "")</f>
        <v>0</v>
      </c>
      <c r="AB127" s="717"/>
    </row>
    <row r="128" spans="2:28">
      <c r="B128" s="764" t="s">
        <v>1076</v>
      </c>
      <c r="C128" s="839">
        <v>6.99421965317919E-2</v>
      </c>
      <c r="D128" s="833">
        <v>6.3583815028901728E-3</v>
      </c>
      <c r="E128" s="833">
        <v>6.358381502890173E-2</v>
      </c>
      <c r="F128" s="833">
        <v>2.8901734104046241E-3</v>
      </c>
      <c r="G128" s="837"/>
      <c r="H128" s="839" t="s">
        <v>452</v>
      </c>
      <c r="I128" s="833" t="s">
        <v>452</v>
      </c>
      <c r="J128" s="837"/>
      <c r="K128" s="833" t="s">
        <v>452</v>
      </c>
      <c r="L128" s="833" t="s">
        <v>452</v>
      </c>
      <c r="M128" s="817"/>
      <c r="N128" s="817"/>
      <c r="O128" s="839">
        <v>5.8387378660658014</v>
      </c>
      <c r="P128" s="833">
        <v>0.53079435146052745</v>
      </c>
      <c r="Q128" s="833">
        <v>5.3079435146052738</v>
      </c>
      <c r="R128" s="833">
        <v>0.24127015975478522</v>
      </c>
      <c r="S128" s="832"/>
      <c r="T128" s="839" t="s">
        <v>452</v>
      </c>
      <c r="U128" s="833" t="s">
        <v>452</v>
      </c>
      <c r="V128" s="837"/>
      <c r="W128" s="833" t="s">
        <v>452</v>
      </c>
      <c r="X128" s="833" t="s">
        <v>452</v>
      </c>
      <c r="AB128" s="717"/>
    </row>
    <row r="129" spans="2:28">
      <c r="B129" s="764" t="s">
        <v>1077</v>
      </c>
      <c r="C129" s="839">
        <v>0.6</v>
      </c>
      <c r="D129" s="833">
        <v>0.3</v>
      </c>
      <c r="E129" s="833">
        <v>0.3</v>
      </c>
      <c r="F129" s="833" t="s">
        <v>452</v>
      </c>
      <c r="G129" s="837"/>
      <c r="H129" s="839" t="s">
        <v>452</v>
      </c>
      <c r="I129" s="833" t="s">
        <v>452</v>
      </c>
      <c r="J129" s="837"/>
      <c r="K129" s="833" t="s">
        <v>452</v>
      </c>
      <c r="L129" s="833" t="s">
        <v>452</v>
      </c>
      <c r="M129" s="817"/>
      <c r="N129" s="817"/>
      <c r="O129" s="839">
        <v>0.7</v>
      </c>
      <c r="P129" s="833">
        <v>0.3</v>
      </c>
      <c r="Q129" s="833">
        <v>0.39999999999999997</v>
      </c>
      <c r="R129" s="833" t="s">
        <v>452</v>
      </c>
      <c r="S129" s="832"/>
      <c r="T129" s="839" t="s">
        <v>452</v>
      </c>
      <c r="U129" s="833" t="s">
        <v>452</v>
      </c>
      <c r="V129" s="837"/>
      <c r="W129" s="833" t="s">
        <v>452</v>
      </c>
      <c r="X129" s="833" t="s">
        <v>452</v>
      </c>
      <c r="AB129" s="717"/>
    </row>
    <row r="130" spans="2:28">
      <c r="B130" s="764" t="s">
        <v>1078</v>
      </c>
      <c r="C130" s="839">
        <v>4.4444444444444439E-2</v>
      </c>
      <c r="D130" s="833">
        <v>7.4074074074074068E-3</v>
      </c>
      <c r="E130" s="833">
        <v>3.7037037037037035E-2</v>
      </c>
      <c r="F130" s="833" t="s">
        <v>452</v>
      </c>
      <c r="G130" s="837"/>
      <c r="H130" s="839" t="s">
        <v>452</v>
      </c>
      <c r="I130" s="833" t="s">
        <v>452</v>
      </c>
      <c r="J130" s="837"/>
      <c r="K130" s="833" t="s">
        <v>452</v>
      </c>
      <c r="L130" s="833" t="s">
        <v>452</v>
      </c>
      <c r="M130" s="817"/>
      <c r="N130" s="817"/>
      <c r="O130" s="839">
        <v>4.7324743668239595</v>
      </c>
      <c r="P130" s="833">
        <v>0.78874572780399332</v>
      </c>
      <c r="Q130" s="833">
        <v>3.9437286390199668</v>
      </c>
      <c r="R130" s="833" t="s">
        <v>452</v>
      </c>
      <c r="S130" s="832"/>
      <c r="T130" s="839" t="s">
        <v>452</v>
      </c>
      <c r="U130" s="833" t="s">
        <v>452</v>
      </c>
      <c r="V130" s="837"/>
      <c r="W130" s="833" t="s">
        <v>452</v>
      </c>
      <c r="X130" s="833" t="s">
        <v>452</v>
      </c>
      <c r="AB130" s="717"/>
    </row>
    <row r="131" spans="2:28">
      <c r="B131" s="764" t="s">
        <v>1079</v>
      </c>
      <c r="C131" s="839">
        <v>0.05</v>
      </c>
      <c r="D131" s="833">
        <v>0.01</v>
      </c>
      <c r="E131" s="833">
        <v>0.04</v>
      </c>
      <c r="F131" s="833" t="s">
        <v>452</v>
      </c>
      <c r="G131" s="837"/>
      <c r="H131" s="839" t="s">
        <v>452</v>
      </c>
      <c r="I131" s="833" t="s">
        <v>452</v>
      </c>
      <c r="J131" s="837"/>
      <c r="K131" s="833" t="s">
        <v>452</v>
      </c>
      <c r="L131" s="833" t="s">
        <v>452</v>
      </c>
      <c r="M131" s="817"/>
      <c r="N131" s="817"/>
      <c r="O131" s="839">
        <v>2.9</v>
      </c>
      <c r="P131" s="833">
        <v>0.7</v>
      </c>
      <c r="Q131" s="833">
        <v>2.2000000000000002</v>
      </c>
      <c r="R131" s="833" t="s">
        <v>452</v>
      </c>
      <c r="S131" s="832"/>
      <c r="T131" s="839" t="s">
        <v>452</v>
      </c>
      <c r="U131" s="833" t="s">
        <v>452</v>
      </c>
      <c r="V131" s="837"/>
      <c r="W131" s="833" t="s">
        <v>452</v>
      </c>
      <c r="X131" s="833" t="s">
        <v>452</v>
      </c>
      <c r="AB131" s="717"/>
    </row>
    <row r="132" spans="2:28">
      <c r="B132" s="764" t="s">
        <v>1080</v>
      </c>
      <c r="C132" s="839">
        <v>2.9629629629629627E-2</v>
      </c>
      <c r="D132" s="833">
        <v>3.7037037037037034E-3</v>
      </c>
      <c r="E132" s="833">
        <v>2.5925925925925925E-2</v>
      </c>
      <c r="F132" s="833" t="s">
        <v>452</v>
      </c>
      <c r="G132" s="837"/>
      <c r="H132" s="839" t="s">
        <v>452</v>
      </c>
      <c r="I132" s="833" t="s">
        <v>452</v>
      </c>
      <c r="J132" s="837"/>
      <c r="K132" s="833" t="s">
        <v>452</v>
      </c>
      <c r="L132" s="833" t="s">
        <v>452</v>
      </c>
      <c r="M132" s="817"/>
      <c r="N132" s="817"/>
      <c r="O132" s="839">
        <v>3.8109492405931289</v>
      </c>
      <c r="P132" s="833">
        <v>0.47636865507414111</v>
      </c>
      <c r="Q132" s="833">
        <v>3.3345805855189878</v>
      </c>
      <c r="R132" s="833" t="s">
        <v>452</v>
      </c>
      <c r="S132" s="832"/>
      <c r="T132" s="839" t="s">
        <v>452</v>
      </c>
      <c r="U132" s="833" t="s">
        <v>452</v>
      </c>
      <c r="V132" s="837"/>
      <c r="W132" s="833" t="s">
        <v>452</v>
      </c>
      <c r="X132" s="833" t="s">
        <v>452</v>
      </c>
      <c r="AB132" s="717"/>
    </row>
    <row r="133" spans="2:28">
      <c r="B133" s="764" t="s">
        <v>559</v>
      </c>
      <c r="C133" s="840">
        <f>IF(ISNUMBER(INDEX(Database!$G$6:$G$197, MATCH($B133&amp;"USD bn", Database!$AD$6:$AD$197, 0))), INDEX(Database!$G$6:$G$197, MATCH($B133&amp;"USD bn", Database!$AD$6:$AD$197, 0)), "")</f>
        <v>73.187651709336336</v>
      </c>
      <c r="D133" s="837" t="str">
        <f>IF(ISNUMBER(INDEX(Database!$H$6:$H$197, MATCH($B133&amp;"USD bn", Database!$AD$6:$AD$197, 0))), INDEX(Database!$H$6:$H$197, MATCH($B133&amp;"USD bn", Database!$AD$6:$AD$197, 0)), "")</f>
        <v/>
      </c>
      <c r="E133" s="837" t="str">
        <f>IF(ISNUMBER(INDEX(Database!$J$6:$J$197, MATCH($B133&amp;"USD bn", Database!$AD$6:$AD$197, 0))), INDEX(Database!$J$6:$J$197, MATCH($B133&amp;"USD bn", Database!$AD$6:$AD$197, 0)), "")</f>
        <v/>
      </c>
      <c r="F133" s="833" t="str">
        <f>IF(ISNUMBER(INDEX(Database!$L$6:$L$197, MATCH($B133&amp;"USD bn", Database!$AD$6:$AD$197, 0))), INDEX(Database!$L$6:$L$197, MATCH($B133&amp;"USD bn", Database!$AD$6:$AD$197, 0)), "")</f>
        <v/>
      </c>
      <c r="G133" s="837"/>
      <c r="H133" s="840">
        <f>IF(ISNUMBER(INDEX(Database!$P$6:$P$197, MATCH($B133&amp;"USD bn", Database!$AD$6:$AD$197, 0))), INDEX(Database!$P$6:$P$197, MATCH($B133&amp;"USD bn", Database!$AD$6:$AD$197, 0)), "")</f>
        <v>21.253182701619505</v>
      </c>
      <c r="I133" s="837">
        <f>IF(ISNUMBER(INDEX(Database!$Q$6:$Q$197, MATCH($B133&amp;"USD bn", Database!$AD$6:$AD$197, 0))), INDEX(Database!$Q$6:$Q$197, MATCH($B133&amp;"USD bn", Database!$AD$6:$AD$197, 0)), "")</f>
        <v>2.8763705911966246</v>
      </c>
      <c r="J133" s="837"/>
      <c r="K133" s="837">
        <f>IF(ISNUMBER(INDEX(Database!$U$6:$U$197, MATCH($B133&amp;"USD bn", Database!$AD$6:$AD$197, 0))), INDEX(Database!$U$6:$U$197, MATCH($B133&amp;"USD bn", Database!$AD$6:$AD$197, 0)), "")</f>
        <v>10.386893801543367</v>
      </c>
      <c r="L133" s="837">
        <f>IF(ISNUMBER(INDEX(Database!$W$6:$W$197, MATCH($B133&amp;"USD bn", Database!$AD$6:$AD$197, 0))), INDEX(Database!$W$6:$W$197, MATCH($B133&amp;"USD bn", Database!$AD$6:$AD$197, 0)), "")</f>
        <v>7.9899183088795134</v>
      </c>
      <c r="M133" s="817"/>
      <c r="N133" s="817"/>
      <c r="O133" s="835">
        <f>IF(ISNUMBER(INDEX(Database!$G$6:$G$197, MATCH($B133&amp;"% GDP", Database!$AD$6:$AD$197, 0))), INDEX(Database!$G$6:$G$197, MATCH($B133&amp;"% GDP", Database!$AD$6:$AD$197, 0)), "")</f>
        <v>14.587579816038515</v>
      </c>
      <c r="P133" s="836" t="str">
        <f>IF(ISNUMBER(INDEX(Database!$H$6:$H$197, MATCH($B133&amp;"% GDP", Database!$AD$6:$AD$197, 0))), INDEX(Database!$H$6:$H$197, MATCH($B133&amp;"% GDP", Database!$AD$6:$AD$197, 0)), "")</f>
        <v/>
      </c>
      <c r="Q133" s="836" t="str">
        <f>IF(ISNUMBER(INDEX(Database!$J$6:$J$197, MATCH($B133&amp;"% GDP", Database!$AD$6:$AD$197, 0))), INDEX(Database!$J$6:$J$197, MATCH($B133&amp;"% GDP", Database!$AD$6:$AD$197, 0)), "")</f>
        <v/>
      </c>
      <c r="R133" s="836" t="str">
        <f>IF(ISNUMBER(INDEX(Database!$L$6:$L$197, MATCH($B133&amp;"% GDP", Database!$AD$6:$AD$197, 0))), INDEX(Database!$L$6:$L$197, MATCH($B133&amp;"% GDP", Database!$AD$6:$AD$197, 0)), "")</f>
        <v/>
      </c>
      <c r="S133" s="836"/>
      <c r="T133" s="835">
        <f>IF(ISNUMBER(INDEX(Database!$P$6:$P$197, MATCH($B133&amp;"% GDP", Database!$AD$6:$AD$197, 0))), INDEX(Database!$P$6:$P$197, MATCH($B133&amp;"% GDP", Database!$AD$6:$AD$197, 0)), "")</f>
        <v>4.2361312566225386</v>
      </c>
      <c r="U133" s="836">
        <f>IF(ISNUMBER(INDEX(Database!$Q$6:$Q$197, MATCH($B133&amp;"% GDP", Database!$AD$6:$AD$197, 0))), INDEX(Database!$Q$6:$Q$197, MATCH($B133&amp;"% GDP", Database!$AD$6:$AD$197, 0)), "")</f>
        <v>0.57331099713688494</v>
      </c>
      <c r="V133" s="836"/>
      <c r="W133" s="836">
        <f>IF(ISNUMBER(INDEX(Database!$U$6:$U$197, MATCH($B133&amp;"% GDP", Database!$AD$6:$AD$197, 0))), INDEX(Database!$U$6:$U$197, MATCH($B133&amp;"% GDP", Database!$AD$6:$AD$197, 0)), "")</f>
        <v>2.0702897118831953</v>
      </c>
      <c r="X133" s="836">
        <f>IF(ISNUMBER(INDEX(Database!$W$6:$W$197, MATCH($B133&amp;"% GDP", Database!$AD$6:$AD$197, 0))), INDEX(Database!$W$6:$W$197, MATCH($B133&amp;"% GDP", Database!$AD$6:$AD$197, 0)), "")</f>
        <v>1.592530547602458</v>
      </c>
      <c r="AB133" s="562"/>
    </row>
    <row r="134" spans="2:28">
      <c r="B134" s="764" t="s">
        <v>1081</v>
      </c>
      <c r="C134" s="839">
        <v>2.644065210129673E-2</v>
      </c>
      <c r="D134" s="833">
        <v>8.8135507004322433E-3</v>
      </c>
      <c r="E134" s="833">
        <v>1.7627101400864487E-2</v>
      </c>
      <c r="F134" s="833" t="s">
        <v>452</v>
      </c>
      <c r="G134" s="837"/>
      <c r="H134" s="839" t="s">
        <v>452</v>
      </c>
      <c r="I134" s="833" t="s">
        <v>452</v>
      </c>
      <c r="J134" s="837"/>
      <c r="K134" s="833" t="s">
        <v>452</v>
      </c>
      <c r="L134" s="833" t="s">
        <v>452</v>
      </c>
      <c r="M134" s="817"/>
      <c r="N134" s="817"/>
      <c r="O134" s="839">
        <v>5.2324579383017786</v>
      </c>
      <c r="P134" s="833">
        <v>2</v>
      </c>
      <c r="Q134" s="833">
        <v>3.2324579383017786</v>
      </c>
      <c r="R134" s="833" t="s">
        <v>452</v>
      </c>
      <c r="S134" s="832"/>
      <c r="T134" s="839" t="s">
        <v>452</v>
      </c>
      <c r="U134" s="833" t="s">
        <v>452</v>
      </c>
      <c r="V134" s="837"/>
      <c r="W134" s="833" t="s">
        <v>452</v>
      </c>
      <c r="X134" s="833" t="s">
        <v>452</v>
      </c>
      <c r="AB134" s="717"/>
    </row>
    <row r="135" spans="2:28">
      <c r="B135" s="764" t="s">
        <v>1082</v>
      </c>
      <c r="C135" s="839">
        <v>0.5</v>
      </c>
      <c r="D135" s="833">
        <v>2.3688519598251804E-2</v>
      </c>
      <c r="E135" s="833">
        <v>0.4763114804017482</v>
      </c>
      <c r="F135" s="833" t="s">
        <v>452</v>
      </c>
      <c r="G135" s="837"/>
      <c r="H135" s="839" t="s">
        <v>452</v>
      </c>
      <c r="I135" s="833" t="s">
        <v>452</v>
      </c>
      <c r="J135" s="837"/>
      <c r="K135" s="833" t="s">
        <v>452</v>
      </c>
      <c r="L135" s="833" t="s">
        <v>452</v>
      </c>
      <c r="M135" s="817"/>
      <c r="N135" s="817"/>
      <c r="O135" s="839">
        <v>2.4</v>
      </c>
      <c r="P135" s="833">
        <v>0.1042711950874536</v>
      </c>
      <c r="Q135" s="833">
        <v>2.2957288049125464</v>
      </c>
      <c r="R135" s="833" t="s">
        <v>452</v>
      </c>
      <c r="S135" s="832"/>
      <c r="T135" s="839" t="s">
        <v>452</v>
      </c>
      <c r="U135" s="833" t="s">
        <v>452</v>
      </c>
      <c r="V135" s="837"/>
      <c r="W135" s="833" t="s">
        <v>452</v>
      </c>
      <c r="X135" s="833" t="s">
        <v>452</v>
      </c>
      <c r="AB135" s="717"/>
    </row>
    <row r="136" spans="2:28">
      <c r="B136" s="764" t="s">
        <v>30</v>
      </c>
      <c r="C136" s="840">
        <f>IF(ISNUMBER(INDEX(Database!$G$6:$G$197, MATCH($B136&amp;"USD bn", Database!$AD$6:$AD$197, 0))), INDEX(Database!$G$6:$G$197, MATCH($B136&amp;"USD bn", Database!$AD$6:$AD$197, 0)), "")</f>
        <v>1.0614213919969644</v>
      </c>
      <c r="D136" s="837">
        <f>IF(ISNUMBER(INDEX(Database!$H$6:$H$197, MATCH($B136&amp;"USD bn", Database!$AD$6:$AD$197, 0))), INDEX(Database!$H$6:$H$197, MATCH($B136&amp;"USD bn", Database!$AD$6:$AD$197, 0)), "")</f>
        <v>0.14045609709842577</v>
      </c>
      <c r="E136" s="837">
        <f>IF(ISNUMBER(INDEX(Database!$J$6:$J$197, MATCH($B136&amp;"USD bn", Database!$AD$6:$AD$197, 0))), INDEX(Database!$J$6:$J$197, MATCH($B136&amp;"USD bn", Database!$AD$6:$AD$197, 0)), "")</f>
        <v>0.92096529489853862</v>
      </c>
      <c r="F136" s="833">
        <f>IF(ISNUMBER(INDEX(Database!$L$6:$L$197, MATCH($B136&amp;"USD bn", Database!$AD$6:$AD$197, 0))), INDEX(Database!$L$6:$L$197, MATCH($B136&amp;"USD bn", Database!$AD$6:$AD$197, 0)), "")</f>
        <v>0.1066755167836145</v>
      </c>
      <c r="G136" s="837"/>
      <c r="H136" s="840">
        <f>IF(ISNUMBER(INDEX(Database!$P$6:$P$197, MATCH($B136&amp;"USD bn", Database!$AD$6:$AD$197, 0))), INDEX(Database!$P$6:$P$197, MATCH($B136&amp;"USD bn", Database!$AD$6:$AD$197, 0)), "")</f>
        <v>0.32002655035084349</v>
      </c>
      <c r="I136" s="837">
        <f>IF(ISNUMBER(INDEX(Database!$Q$6:$Q$197, MATCH($B136&amp;"USD bn", Database!$AD$6:$AD$197, 0))), INDEX(Database!$Q$6:$Q$197, MATCH($B136&amp;"USD bn", Database!$AD$6:$AD$197, 0)), "")</f>
        <v>0.24890953916176717</v>
      </c>
      <c r="J136" s="837"/>
      <c r="K136" s="837">
        <f>IF(ISNUMBER(INDEX(Database!$U$6:$U$197, MATCH($B136&amp;"USD bn", Database!$AD$6:$AD$197, 0))), INDEX(Database!$U$6:$U$197, MATCH($B136&amp;"USD bn", Database!$AD$6:$AD$197, 0)), "")</f>
        <v>7.1117011189076346E-2</v>
      </c>
      <c r="L136" s="837" t="str">
        <f>IF(ISNUMBER(INDEX(Database!$W$6:$W$197, MATCH($B136&amp;"USD bn", Database!$AD$6:$AD$197, 0))), INDEX(Database!$W$6:$W$197, MATCH($B136&amp;"USD bn", Database!$AD$6:$AD$197, 0)), "")</f>
        <v/>
      </c>
      <c r="M136" s="817"/>
      <c r="N136" s="817"/>
      <c r="O136" s="835">
        <f>IF(ISNUMBER(INDEX(Database!$G$6:$G$197, MATCH($B136&amp;"% GDP", Database!$AD$6:$AD$197, 0))), INDEX(Database!$G$6:$G$197, MATCH($B136&amp;"% GDP", Database!$AD$6:$AD$197, 0)), "")</f>
        <v>2.7063675838678867</v>
      </c>
      <c r="P136" s="836">
        <f>IF(ISNUMBER(INDEX(Database!$H$6:$H$197, MATCH($B136&amp;"% GDP", Database!$AD$6:$AD$197, 0))), INDEX(Database!$H$6:$H$197, MATCH($B136&amp;"% GDP", Database!$AD$6:$AD$197, 0)), "")</f>
        <v>0.35812904376141214</v>
      </c>
      <c r="Q136" s="836">
        <f>IF(ISNUMBER(INDEX(Database!$J$6:$J$197, MATCH($B136&amp;"% GDP", Database!$AD$6:$AD$197, 0))), INDEX(Database!$J$6:$J$197, MATCH($B136&amp;"% GDP", Database!$AD$6:$AD$197, 0)), "")</f>
        <v>2.3482385401064745</v>
      </c>
      <c r="R136" s="836">
        <f>IF(ISNUMBER(INDEX(Database!$L$6:$L$197, MATCH($B136&amp;"% GDP", Database!$AD$6:$AD$197, 0))), INDEX(Database!$L$6:$L$197, MATCH($B136&amp;"% GDP", Database!$AD$6:$AD$197, 0)), "")</f>
        <v>0.27199674209727503</v>
      </c>
      <c r="S136" s="836"/>
      <c r="T136" s="835">
        <f>IF(ISNUMBER(INDEX(Database!$P$6:$P$197, MATCH($B136&amp;"% GDP", Database!$AD$6:$AD$197, 0))), INDEX(Database!$P$6:$P$197, MATCH($B136&amp;"% GDP", Database!$AD$6:$AD$197, 0)), "")</f>
        <v>0.81599022629182516</v>
      </c>
      <c r="U136" s="836">
        <f>IF(ISNUMBER(INDEX(Database!$Q$6:$Q$197, MATCH($B136&amp;"% GDP", Database!$AD$6:$AD$197, 0))), INDEX(Database!$Q$6:$Q$197, MATCH($B136&amp;"% GDP", Database!$AD$6:$AD$197, 0)), "")</f>
        <v>0.63465906489364177</v>
      </c>
      <c r="V136" s="836"/>
      <c r="W136" s="836">
        <f>IF(ISNUMBER(INDEX(Database!$U$6:$U$197, MATCH($B136&amp;"% GDP", Database!$AD$6:$AD$197, 0))), INDEX(Database!$U$6:$U$197, MATCH($B136&amp;"% GDP", Database!$AD$6:$AD$197, 0)), "")</f>
        <v>0.18133116139818339</v>
      </c>
      <c r="X136" s="836" t="str">
        <f>IF(ISNUMBER(INDEX(Database!$W$6:$W$197, MATCH($B136&amp;"% GDP", Database!$AD$6:$AD$197, 0))), INDEX(Database!$W$6:$W$197, MATCH($B136&amp;"% GDP", Database!$AD$6:$AD$197, 0)), "")</f>
        <v/>
      </c>
      <c r="AB136" s="562"/>
    </row>
    <row r="137" spans="2:28">
      <c r="B137" s="764" t="s">
        <v>1083</v>
      </c>
      <c r="C137" s="839">
        <v>1.1428571428571429E-2</v>
      </c>
      <c r="D137" s="833">
        <v>1.1428571428571429E-2</v>
      </c>
      <c r="E137" s="833">
        <v>0</v>
      </c>
      <c r="F137" s="833" t="s">
        <v>452</v>
      </c>
      <c r="G137" s="837"/>
      <c r="H137" s="839">
        <v>1.1428571428571429E-2</v>
      </c>
      <c r="I137" s="833">
        <v>1.1428571428571429E-2</v>
      </c>
      <c r="J137" s="837"/>
      <c r="K137" s="833" t="s">
        <v>452</v>
      </c>
      <c r="L137" s="833" t="s">
        <v>452</v>
      </c>
      <c r="M137" s="817"/>
      <c r="N137" s="817"/>
      <c r="O137" s="839">
        <v>2.3837808027539514E-2</v>
      </c>
      <c r="P137" s="833">
        <v>2.3837808027539514E-2</v>
      </c>
      <c r="Q137" s="833">
        <v>0</v>
      </c>
      <c r="R137" s="833" t="s">
        <v>452</v>
      </c>
      <c r="S137" s="832"/>
      <c r="T137" s="839">
        <v>2.3837808027539514E-2</v>
      </c>
      <c r="U137" s="833">
        <v>2.3837808027539514E-2</v>
      </c>
      <c r="V137" s="837"/>
      <c r="W137" s="833" t="s">
        <v>452</v>
      </c>
      <c r="X137" s="833" t="s">
        <v>452</v>
      </c>
      <c r="AB137" s="717"/>
    </row>
    <row r="138" spans="2:28">
      <c r="B138" s="764" t="s">
        <v>1250</v>
      </c>
      <c r="C138" s="839">
        <v>9.8459464714514226E-3</v>
      </c>
      <c r="D138" s="833">
        <v>3.741459659151541E-3</v>
      </c>
      <c r="E138" s="833" t="s">
        <v>452</v>
      </c>
      <c r="F138" s="833" t="s">
        <v>452</v>
      </c>
      <c r="G138" s="837"/>
      <c r="H138" s="839" t="s">
        <v>452</v>
      </c>
      <c r="I138" s="833" t="s">
        <v>452</v>
      </c>
      <c r="J138" s="837"/>
      <c r="K138" s="833" t="s">
        <v>452</v>
      </c>
      <c r="L138" s="833" t="s">
        <v>452</v>
      </c>
      <c r="M138" s="817"/>
      <c r="N138" s="817"/>
      <c r="O138" s="839">
        <v>22.193879815702022</v>
      </c>
      <c r="P138" s="833">
        <v>8.4336743299667685</v>
      </c>
      <c r="Q138" s="833" t="s">
        <v>452</v>
      </c>
      <c r="R138" s="833" t="s">
        <v>452</v>
      </c>
      <c r="S138" s="832"/>
      <c r="T138" s="839" t="s">
        <v>452</v>
      </c>
      <c r="U138" s="833" t="s">
        <v>452</v>
      </c>
      <c r="V138" s="837"/>
      <c r="W138" s="833" t="s">
        <v>452</v>
      </c>
      <c r="X138" s="833" t="s">
        <v>452</v>
      </c>
      <c r="AB138" s="717"/>
    </row>
    <row r="139" spans="2:28">
      <c r="B139" s="764" t="s">
        <v>1084</v>
      </c>
      <c r="C139" s="839">
        <v>4.3573021065572055</v>
      </c>
      <c r="D139" s="833">
        <v>1.1868397474631718</v>
      </c>
      <c r="E139" s="833">
        <v>3.1704623590940342</v>
      </c>
      <c r="F139" s="833" t="s">
        <v>452</v>
      </c>
      <c r="G139" s="837"/>
      <c r="H139" s="839" t="s">
        <v>452</v>
      </c>
      <c r="I139" s="833" t="s">
        <v>452</v>
      </c>
      <c r="J139" s="837"/>
      <c r="K139" s="833" t="s">
        <v>452</v>
      </c>
      <c r="L139" s="833" t="s">
        <v>452</v>
      </c>
      <c r="M139" s="817"/>
      <c r="N139" s="817"/>
      <c r="O139" s="839">
        <v>3.3446490892739087</v>
      </c>
      <c r="P139" s="833">
        <v>0.91101382997820313</v>
      </c>
      <c r="Q139" s="833">
        <v>2.4336352592957056</v>
      </c>
      <c r="R139" s="833" t="s">
        <v>452</v>
      </c>
      <c r="S139" s="832"/>
      <c r="T139" s="839" t="s">
        <v>452</v>
      </c>
      <c r="U139" s="833" t="s">
        <v>452</v>
      </c>
      <c r="V139" s="837"/>
      <c r="W139" s="833" t="s">
        <v>452</v>
      </c>
      <c r="X139" s="833" t="s">
        <v>452</v>
      </c>
      <c r="AB139" s="717"/>
    </row>
    <row r="140" spans="2:28">
      <c r="B140" s="764" t="s">
        <v>56</v>
      </c>
      <c r="C140" s="840">
        <f>IF(ISNUMBER(INDEX(Database!$G$6:$G$197, MATCH($B140&amp;"USD bn", Database!$AD$6:$AD$197, 0))), INDEX(Database!$G$6:$G$197, MATCH($B140&amp;"USD bn", Database!$AD$6:$AD$197, 0)), "")</f>
        <v>8.7134104833219883</v>
      </c>
      <c r="D140" s="837" t="str">
        <f>IF(ISNUMBER(INDEX(Database!$H$6:$H$197, MATCH($B140&amp;"USD bn", Database!$AD$6:$AD$197, 0))), INDEX(Database!$H$6:$H$197, MATCH($B140&amp;"USD bn", Database!$AD$6:$AD$197, 0)), "")</f>
        <v/>
      </c>
      <c r="E140" s="837" t="str">
        <f>IF(ISNUMBER(INDEX(Database!$J$6:$J$197, MATCH($B140&amp;"USD bn", Database!$AD$6:$AD$197, 0))), INDEX(Database!$J$6:$J$197, MATCH($B140&amp;"USD bn", Database!$AD$6:$AD$197, 0)), "")</f>
        <v/>
      </c>
      <c r="F140" s="833" t="str">
        <f>IF(ISNUMBER(INDEX(Database!$L$6:$L$197, MATCH($B140&amp;"USD bn", Database!$AD$6:$AD$197, 0))), INDEX(Database!$L$6:$L$197, MATCH($B140&amp;"USD bn", Database!$AD$6:$AD$197, 0)), "")</f>
        <v/>
      </c>
      <c r="G140" s="837"/>
      <c r="H140" s="840" t="str">
        <f>IF(ISNUMBER(INDEX(Database!$P$6:$P$197, MATCH($B140&amp;"USD bn", Database!$AD$6:$AD$197, 0))), INDEX(Database!$P$6:$P$197, MATCH($B140&amp;"USD bn", Database!$AD$6:$AD$197, 0)), "")</f>
        <v/>
      </c>
      <c r="I140" s="837" t="str">
        <f>IF(ISNUMBER(INDEX(Database!$Q$6:$Q$197, MATCH($B140&amp;"USD bn", Database!$AD$6:$AD$197, 0))), INDEX(Database!$Q$6:$Q$197, MATCH($B140&amp;"USD bn", Database!$AD$6:$AD$197, 0)), "")</f>
        <v/>
      </c>
      <c r="J140" s="837"/>
      <c r="K140" s="837" t="str">
        <f>IF(ISNUMBER(INDEX(Database!$U$6:$U$197, MATCH($B140&amp;"USD bn", Database!$AD$6:$AD$197, 0))), INDEX(Database!$U$6:$U$197, MATCH($B140&amp;"USD bn", Database!$AD$6:$AD$197, 0)), "")</f>
        <v/>
      </c>
      <c r="L140" s="837" t="str">
        <f>IF(ISNUMBER(INDEX(Database!$W$6:$W$197, MATCH($B140&amp;"USD bn", Database!$AD$6:$AD$197, 0))), INDEX(Database!$W$6:$W$197, MATCH($B140&amp;"USD bn", Database!$AD$6:$AD$197, 0)), "")</f>
        <v/>
      </c>
      <c r="M140" s="817"/>
      <c r="N140" s="817"/>
      <c r="O140" s="835">
        <f>IF(ISNUMBER(INDEX(Database!$G$6:$G$197, MATCH($B140&amp;"% GDP", Database!$AD$6:$AD$197, 0))), INDEX(Database!$G$6:$G$197, MATCH($B140&amp;"% GDP", Database!$AD$6:$AD$197, 0)), "")</f>
        <v>2.4280205714042915</v>
      </c>
      <c r="P140" s="836" t="str">
        <f>IF(ISNUMBER(INDEX(Database!$H$6:$H$197, MATCH($B140&amp;"% GDP", Database!$AD$6:$AD$197, 0))), INDEX(Database!$H$6:$H$197, MATCH($B140&amp;"% GDP", Database!$AD$6:$AD$197, 0)), "")</f>
        <v/>
      </c>
      <c r="Q140" s="836" t="str">
        <f>IF(ISNUMBER(INDEX(Database!$J$6:$J$197, MATCH($B140&amp;"% GDP", Database!$AD$6:$AD$197, 0))), INDEX(Database!$J$6:$J$197, MATCH($B140&amp;"% GDP", Database!$AD$6:$AD$197, 0)), "")</f>
        <v/>
      </c>
      <c r="R140" s="836" t="str">
        <f>IF(ISNUMBER(INDEX(Database!$L$6:$L$197, MATCH($B140&amp;"% GDP", Database!$AD$6:$AD$197, 0))), INDEX(Database!$L$6:$L$197, MATCH($B140&amp;"% GDP", Database!$AD$6:$AD$197, 0)), "")</f>
        <v/>
      </c>
      <c r="S140" s="836"/>
      <c r="T140" s="835" t="str">
        <f>IF(ISNUMBER(INDEX(Database!$P$6:$P$197, MATCH($B140&amp;"% GDP", Database!$AD$6:$AD$197, 0))), INDEX(Database!$P$6:$P$197, MATCH($B140&amp;"% GDP", Database!$AD$6:$AD$197, 0)), "")</f>
        <v/>
      </c>
      <c r="U140" s="836" t="str">
        <f>IF(ISNUMBER(INDEX(Database!$Q$6:$Q$197, MATCH($B140&amp;"% GDP", Database!$AD$6:$AD$197, 0))), INDEX(Database!$Q$6:$Q$197, MATCH($B140&amp;"% GDP", Database!$AD$6:$AD$197, 0)), "")</f>
        <v/>
      </c>
      <c r="V140" s="836"/>
      <c r="W140" s="836" t="str">
        <f>IF(ISNUMBER(INDEX(Database!$U$6:$U$197, MATCH($B140&amp;"% GDP", Database!$AD$6:$AD$197, 0))), INDEX(Database!$U$6:$U$197, MATCH($B140&amp;"% GDP", Database!$AD$6:$AD$197, 0)), "")</f>
        <v/>
      </c>
      <c r="X140" s="836" t="str">
        <f>IF(ISNUMBER(INDEX(Database!$W$6:$W$197, MATCH($B140&amp;"% GDP", Database!$AD$6:$AD$197, 0))), INDEX(Database!$W$6:$W$197, MATCH($B140&amp;"% GDP", Database!$AD$6:$AD$197, 0)), "")</f>
        <v/>
      </c>
      <c r="AB140" s="562"/>
    </row>
    <row r="141" spans="2:28">
      <c r="B141" s="764" t="s">
        <v>1085</v>
      </c>
      <c r="C141" s="839">
        <v>0.45085640448807185</v>
      </c>
      <c r="D141" s="833" t="s">
        <v>452</v>
      </c>
      <c r="E141" s="833" t="s">
        <v>452</v>
      </c>
      <c r="F141" s="833" t="s">
        <v>452</v>
      </c>
      <c r="G141" s="837"/>
      <c r="H141" s="839" t="s">
        <v>452</v>
      </c>
      <c r="I141" s="833" t="s">
        <v>452</v>
      </c>
      <c r="J141" s="837"/>
      <c r="K141" s="833" t="s">
        <v>452</v>
      </c>
      <c r="L141" s="833" t="s">
        <v>452</v>
      </c>
      <c r="M141" s="817"/>
      <c r="N141" s="817"/>
      <c r="O141" s="839">
        <v>0.84755460341570177</v>
      </c>
      <c r="P141" s="833" t="s">
        <v>452</v>
      </c>
      <c r="Q141" s="833" t="s">
        <v>452</v>
      </c>
      <c r="R141" s="833" t="s">
        <v>452</v>
      </c>
      <c r="S141" s="832"/>
      <c r="T141" s="839" t="s">
        <v>452</v>
      </c>
      <c r="U141" s="833" t="s">
        <v>452</v>
      </c>
      <c r="V141" s="837"/>
      <c r="W141" s="833" t="s">
        <v>452</v>
      </c>
      <c r="X141" s="833" t="s">
        <v>452</v>
      </c>
      <c r="AB141" s="717"/>
    </row>
    <row r="142" spans="2:28">
      <c r="B142" s="764" t="s">
        <v>1086</v>
      </c>
      <c r="C142" s="839">
        <v>3.8133206222645925E-2</v>
      </c>
      <c r="D142" s="833">
        <v>8.6666377778740731E-5</v>
      </c>
      <c r="E142" s="833">
        <v>3.8046539844867187E-2</v>
      </c>
      <c r="F142" s="833">
        <v>4.8533171556094813E-3</v>
      </c>
      <c r="G142" s="837"/>
      <c r="H142" s="839" t="s">
        <v>452</v>
      </c>
      <c r="I142" s="833">
        <v>0</v>
      </c>
      <c r="J142" s="837"/>
      <c r="K142" s="833" t="s">
        <v>452</v>
      </c>
      <c r="L142" s="833" t="s">
        <v>452</v>
      </c>
      <c r="M142" s="817"/>
      <c r="N142" s="817"/>
      <c r="O142" s="839">
        <v>4.4633010212011204</v>
      </c>
      <c r="P142" s="833">
        <v>1.0143865957275273E-2</v>
      </c>
      <c r="Q142" s="833">
        <v>4.4531571552438445</v>
      </c>
      <c r="R142" s="833">
        <v>0.56805649360741528</v>
      </c>
      <c r="S142" s="832"/>
      <c r="T142" s="839" t="s">
        <v>452</v>
      </c>
      <c r="U142" s="833">
        <v>0</v>
      </c>
      <c r="V142" s="837"/>
      <c r="W142" s="833" t="s">
        <v>452</v>
      </c>
      <c r="X142" s="833" t="s">
        <v>452</v>
      </c>
      <c r="AB142" s="717"/>
    </row>
    <row r="143" spans="2:28">
      <c r="B143" s="838" t="s">
        <v>871</v>
      </c>
      <c r="C143" s="840"/>
      <c r="D143" s="832"/>
      <c r="E143" s="832" t="str">
        <f>IF(ISNUMBER(INDEX(Database!$J$6:$J$197, MATCH($B143&amp;"USD bn", Database!$AD$6:$AD$197, 0))), INDEX(Database!$J$6:$J$197, MATCH($B143&amp;"USD bn", Database!$AD$6:$AD$197, 0)), "")</f>
        <v/>
      </c>
      <c r="F143" s="833" t="str">
        <f>IF(ISNUMBER(INDEX(Database!$L$6:$L$197, MATCH($B143&amp;"USD bn", Database!$AD$6:$AD$197, 0))), INDEX(Database!$L$6:$L$197, MATCH($B143&amp;"USD bn", Database!$AD$6:$AD$197, 0)), "")</f>
        <v/>
      </c>
      <c r="G143" s="832"/>
      <c r="H143" s="831" t="str">
        <f>IF(ISNUMBER(INDEX(Database!$P$6:$P$197, MATCH($B143&amp;"USD bn", Database!$AD$6:$AD$197, 0))), INDEX(Database!$P$6:$P$197, MATCH($B143&amp;"USD bn", Database!$AD$6:$AD$197, 0)), "")</f>
        <v/>
      </c>
      <c r="I143" s="837" t="str">
        <f>IF(ISNUMBER(INDEX(Database!$Q$6:$Q$197, MATCH($B143&amp;"USD bn", Database!$AD$6:$AD$197, 0))), INDEX(Database!$Q$6:$Q$197, MATCH($B143&amp;"USD bn", Database!$AD$6:$AD$197, 0)), "")</f>
        <v/>
      </c>
      <c r="J143" s="837"/>
      <c r="K143" s="837" t="str">
        <f>IF(ISNUMBER(INDEX(Database!$U$6:$U$197, MATCH($B143&amp;"USD bn", Database!$AD$6:$AD$197, 0))), INDEX(Database!$U$6:$U$197, MATCH($B143&amp;"USD bn", Database!$AD$6:$AD$197, 0)), "")</f>
        <v/>
      </c>
      <c r="L143" s="837" t="str">
        <f>IF(ISNUMBER(INDEX(Database!$W$6:$W$197, MATCH($B143&amp;"USD bn", Database!$AD$6:$AD$197, 0))), INDEX(Database!$W$6:$W$197, MATCH($B143&amp;"USD bn", Database!$AD$6:$AD$197, 0)), "")</f>
        <v/>
      </c>
      <c r="M143" s="817"/>
      <c r="N143" s="817"/>
      <c r="O143" s="835" t="str">
        <f>IF(ISNUMBER(INDEX(Database!$G$6:$G$197, MATCH($B143&amp;"% GDP", Database!$AD$6:$AD$197, 0))), INDEX(Database!$G$6:$G$197, MATCH($B143&amp;"% GDP", Database!$AD$6:$AD$197, 0)), "")</f>
        <v/>
      </c>
      <c r="P143" s="836" t="str">
        <f>IF(ISNUMBER(INDEX(Database!$H$6:$H$197, MATCH($B143&amp;"% GDP", Database!$AD$6:$AD$197, 0))), INDEX(Database!$H$6:$H$197, MATCH($B143&amp;"% GDP", Database!$AD$6:$AD$197, 0)), "")</f>
        <v/>
      </c>
      <c r="Q143" s="836" t="str">
        <f>IF(ISNUMBER(INDEX(Database!$J$6:$J$197, MATCH($B143&amp;"% GDP", Database!$AD$6:$AD$197, 0))), INDEX(Database!$J$6:$J$197, MATCH($B143&amp;"% GDP", Database!$AD$6:$AD$197, 0)), "")</f>
        <v/>
      </c>
      <c r="R143" s="836" t="str">
        <f>IF(ISNUMBER(INDEX(Database!$L$6:$L$197, MATCH($B143&amp;"% GDP", Database!$AD$6:$AD$197, 0))), INDEX(Database!$L$6:$L$197, MATCH($B143&amp;"% GDP", Database!$AD$6:$AD$197, 0)), "")</f>
        <v/>
      </c>
      <c r="S143" s="836"/>
      <c r="T143" s="835" t="str">
        <f>IF(ISNUMBER(INDEX(Database!$P$6:$P$197, MATCH($B143&amp;"% GDP", Database!$AD$6:$AD$197, 0))), INDEX(Database!$P$6:$P$197, MATCH($B143&amp;"% GDP", Database!$AD$6:$AD$197, 0)), "")</f>
        <v/>
      </c>
      <c r="U143" s="836" t="str">
        <f>IF(ISNUMBER(INDEX(Database!$Q$6:$Q$197, MATCH($B143&amp;"% GDP", Database!$AD$6:$AD$197, 0))), INDEX(Database!$Q$6:$Q$197, MATCH($B143&amp;"% GDP", Database!$AD$6:$AD$197, 0)), "")</f>
        <v/>
      </c>
      <c r="V143" s="836"/>
      <c r="W143" s="836" t="str">
        <f>IF(ISNUMBER(INDEX(Database!$U$6:$U$197, MATCH($B143&amp;"% GDP", Database!$AD$6:$AD$197, 0))), INDEX(Database!$U$6:$U$197, MATCH($B143&amp;"% GDP", Database!$AD$6:$AD$197, 0)), "")</f>
        <v/>
      </c>
      <c r="X143" s="836" t="str">
        <f>IF(ISNUMBER(INDEX(Database!$W$6:$W$197, MATCH($B143&amp;"% GDP", Database!$AD$6:$AD$197, 0))), INDEX(Database!$W$6:$W$197, MATCH($B143&amp;"% GDP", Database!$AD$6:$AD$197, 0)), "")</f>
        <v/>
      </c>
      <c r="AB143" s="565"/>
    </row>
    <row r="144" spans="2:28">
      <c r="B144" s="764" t="s">
        <v>1087</v>
      </c>
      <c r="C144" s="839">
        <v>0.28477378702802825</v>
      </c>
      <c r="D144" s="833">
        <v>8.0281100154544302E-2</v>
      </c>
      <c r="E144" s="833">
        <v>0.20449268687348393</v>
      </c>
      <c r="F144" s="833" t="s">
        <v>452</v>
      </c>
      <c r="G144" s="837"/>
      <c r="H144" s="839" t="s">
        <v>452</v>
      </c>
      <c r="I144" s="833" t="s">
        <v>452</v>
      </c>
      <c r="J144" s="837"/>
      <c r="K144" s="833" t="s">
        <v>452</v>
      </c>
      <c r="L144" s="833" t="s">
        <v>452</v>
      </c>
      <c r="M144" s="817"/>
      <c r="N144" s="817"/>
      <c r="O144" s="839">
        <v>1.4974346386597168</v>
      </c>
      <c r="P144" s="833">
        <v>0.42214454306249971</v>
      </c>
      <c r="Q144" s="833">
        <v>1.0752900955972171</v>
      </c>
      <c r="R144" s="833" t="s">
        <v>452</v>
      </c>
      <c r="S144" s="832"/>
      <c r="T144" s="839" t="s">
        <v>452</v>
      </c>
      <c r="U144" s="833" t="s">
        <v>452</v>
      </c>
      <c r="V144" s="837"/>
      <c r="W144" s="833" t="s">
        <v>452</v>
      </c>
      <c r="X144" s="833" t="s">
        <v>452</v>
      </c>
      <c r="AB144" s="717"/>
    </row>
    <row r="145" spans="2:28">
      <c r="B145" s="764" t="s">
        <v>37</v>
      </c>
      <c r="C145" s="840">
        <f>IF(ISNUMBER(INDEX(Database!$G$6:$G$197, MATCH($B145&amp;"USD bn", Database!$AD$6:$AD$197, 0))), INDEX(Database!$G$6:$G$197, MATCH($B145&amp;"USD bn", Database!$AD$6:$AD$197, 0)), "")</f>
        <v>7.4404955534436894</v>
      </c>
      <c r="D145" s="837">
        <f>IF(ISNUMBER(INDEX(Database!$H$6:$H$197, MATCH($B145&amp;"USD bn", Database!$AD$6:$AD$197, 0))), INDEX(Database!$H$6:$H$197, MATCH($B145&amp;"USD bn", Database!$AD$6:$AD$197, 0)), "")</f>
        <v>2.9836987447040832</v>
      </c>
      <c r="E145" s="837">
        <f>IF(ISNUMBER(INDEX(Database!$J$6:$J$197, MATCH($B145&amp;"USD bn", Database!$AD$6:$AD$197, 0))), INDEX(Database!$J$6:$J$197, MATCH($B145&amp;"USD bn", Database!$AD$6:$AD$197, 0)), "")</f>
        <v>4.4567968087396057</v>
      </c>
      <c r="F145" s="833" t="str">
        <f>IF(ISNUMBER(INDEX(Database!$L$6:$L$197, MATCH($B145&amp;"USD bn", Database!$AD$6:$AD$197, 0))), INDEX(Database!$L$6:$L$197, MATCH($B145&amp;"USD bn", Database!$AD$6:$AD$197, 0)), "")</f>
        <v/>
      </c>
      <c r="G145" s="837"/>
      <c r="H145" s="840">
        <f>IF(ISNUMBER(INDEX(Database!$P$6:$P$197, MATCH($B145&amp;"USD bn", Database!$AD$6:$AD$197, 0))), INDEX(Database!$P$6:$P$197, MATCH($B145&amp;"USD bn", Database!$AD$6:$AD$197, 0)), "")</f>
        <v>0.23586551341534254</v>
      </c>
      <c r="I145" s="837" t="str">
        <f>IF(ISNUMBER(INDEX(Database!$Q$6:$Q$197, MATCH($B145&amp;"USD bn", Database!$AD$6:$AD$197, 0))), INDEX(Database!$Q$6:$Q$197, MATCH($B145&amp;"USD bn", Database!$AD$6:$AD$197, 0)), "")</f>
        <v/>
      </c>
      <c r="J145" s="837"/>
      <c r="K145" s="837">
        <f>IF(ISNUMBER(INDEX(Database!$U$6:$U$197, MATCH($B145&amp;"USD bn", Database!$AD$6:$AD$197, 0))), INDEX(Database!$U$6:$U$197, MATCH($B145&amp;"USD bn", Database!$AD$6:$AD$197, 0)), "")</f>
        <v>0.23586551341534254</v>
      </c>
      <c r="L145" s="837" t="str">
        <f>IF(ISNUMBER(INDEX(Database!$W$6:$W$197, MATCH($B145&amp;"USD bn", Database!$AD$6:$AD$197, 0))), INDEX(Database!$W$6:$W$197, MATCH($B145&amp;"USD bn", Database!$AD$6:$AD$197, 0)), "")</f>
        <v/>
      </c>
      <c r="M145" s="817"/>
      <c r="N145" s="817"/>
      <c r="O145" s="835">
        <f>IF(ISNUMBER(INDEX(Database!$G$6:$G$197, MATCH($B145&amp;"% GDP", Database!$AD$6:$AD$197, 0))), INDEX(Database!$G$6:$G$197, MATCH($B145&amp;"% GDP", Database!$AD$6:$AD$197, 0)), "")</f>
        <v>2.3031524031183657</v>
      </c>
      <c r="P145" s="836">
        <f>IF(ISNUMBER(INDEX(Database!$H$6:$H$197, MATCH($B145&amp;"% GDP", Database!$AD$6:$AD$197, 0))), INDEX(Database!$H$6:$H$197, MATCH($B145&amp;"% GDP", Database!$AD$6:$AD$197, 0)), "")</f>
        <v>0.92358269482009558</v>
      </c>
      <c r="Q145" s="836">
        <f>IF(ISNUMBER(INDEX(Database!$J$6:$J$197, MATCH($B145&amp;"% GDP", Database!$AD$6:$AD$197, 0))), INDEX(Database!$J$6:$J$197, MATCH($B145&amp;"% GDP", Database!$AD$6:$AD$197, 0)), "")</f>
        <v>1.3795697082982701</v>
      </c>
      <c r="R145" s="836" t="str">
        <f>IF(ISNUMBER(INDEX(Database!$L$6:$L$197, MATCH($B145&amp;"% GDP", Database!$AD$6:$AD$197, 0))), INDEX(Database!$L$6:$L$197, MATCH($B145&amp;"% GDP", Database!$AD$6:$AD$197, 0)), "")</f>
        <v/>
      </c>
      <c r="S145" s="836"/>
      <c r="T145" s="835">
        <f>IF(ISNUMBER(INDEX(Database!$P$6:$P$197, MATCH($B145&amp;"% GDP", Database!$AD$6:$AD$197, 0))), INDEX(Database!$P$6:$P$197, MATCH($B145&amp;"% GDP", Database!$AD$6:$AD$197, 0)), "")</f>
        <v>7.3010489709098458E-2</v>
      </c>
      <c r="U145" s="836" t="str">
        <f>IF(ISNUMBER(INDEX(Database!$Q$6:$Q$197, MATCH($B145&amp;"% GDP", Database!$AD$6:$AD$197, 0))), INDEX(Database!$Q$6:$Q$197, MATCH($B145&amp;"% GDP", Database!$AD$6:$AD$197, 0)), "")</f>
        <v/>
      </c>
      <c r="V145" s="836"/>
      <c r="W145" s="836">
        <f>IF(ISNUMBER(INDEX(Database!$U$6:$U$197, MATCH($B145&amp;"% GDP", Database!$AD$6:$AD$197, 0))), INDEX(Database!$U$6:$U$197, MATCH($B145&amp;"% GDP", Database!$AD$6:$AD$197, 0)), "")</f>
        <v>7.3010489709098458E-2</v>
      </c>
      <c r="X145" s="836" t="str">
        <f>IF(ISNUMBER(INDEX(Database!$W$6:$W$197, MATCH($B145&amp;"% GDP", Database!$AD$6:$AD$197, 0))), INDEX(Database!$W$6:$W$197, MATCH($B145&amp;"% GDP", Database!$AD$6:$AD$197, 0)), "")</f>
        <v/>
      </c>
      <c r="AB145" s="562"/>
    </row>
    <row r="146" spans="2:28">
      <c r="B146" s="764" t="s">
        <v>1088</v>
      </c>
      <c r="C146" s="839">
        <v>0.25638093310252558</v>
      </c>
      <c r="D146" s="833">
        <v>7.6914279930757667E-2</v>
      </c>
      <c r="E146" s="833">
        <v>0.17946665317176791</v>
      </c>
      <c r="F146" s="833">
        <v>3.4184124413670074E-2</v>
      </c>
      <c r="G146" s="837"/>
      <c r="H146" s="839" t="s">
        <v>452</v>
      </c>
      <c r="I146" s="833">
        <v>0</v>
      </c>
      <c r="J146" s="837"/>
      <c r="K146" s="833" t="s">
        <v>452</v>
      </c>
      <c r="L146" s="833" t="s">
        <v>452</v>
      </c>
      <c r="M146" s="817"/>
      <c r="N146" s="817"/>
      <c r="O146" s="839">
        <v>1.7066517052075563</v>
      </c>
      <c r="P146" s="833">
        <v>0.51199551156226686</v>
      </c>
      <c r="Q146" s="833">
        <v>1.1946561936452893</v>
      </c>
      <c r="R146" s="833">
        <v>0.22755356069434082</v>
      </c>
      <c r="S146" s="832"/>
      <c r="T146" s="839" t="s">
        <v>452</v>
      </c>
      <c r="U146" s="833">
        <v>0</v>
      </c>
      <c r="V146" s="837"/>
      <c r="W146" s="833" t="s">
        <v>452</v>
      </c>
      <c r="X146" s="833" t="s">
        <v>452</v>
      </c>
      <c r="AB146" s="717"/>
    </row>
    <row r="147" spans="2:28">
      <c r="B147" s="764" t="s">
        <v>1089</v>
      </c>
      <c r="C147" s="839" t="s">
        <v>452</v>
      </c>
      <c r="D147" s="833" t="s">
        <v>452</v>
      </c>
      <c r="E147" s="833" t="s">
        <v>452</v>
      </c>
      <c r="F147" s="833" t="s">
        <v>452</v>
      </c>
      <c r="G147" s="837"/>
      <c r="H147" s="839" t="s">
        <v>452</v>
      </c>
      <c r="I147" s="833" t="s">
        <v>452</v>
      </c>
      <c r="J147" s="837"/>
      <c r="K147" s="833" t="s">
        <v>452</v>
      </c>
      <c r="L147" s="833" t="s">
        <v>452</v>
      </c>
      <c r="M147" s="817"/>
      <c r="N147" s="817"/>
      <c r="O147" s="839" t="s">
        <v>452</v>
      </c>
      <c r="P147" s="833" t="s">
        <v>452</v>
      </c>
      <c r="Q147" s="833" t="s">
        <v>452</v>
      </c>
      <c r="R147" s="833" t="s">
        <v>452</v>
      </c>
      <c r="S147" s="832"/>
      <c r="T147" s="839" t="s">
        <v>452</v>
      </c>
      <c r="U147" s="833" t="s">
        <v>452</v>
      </c>
      <c r="V147" s="837"/>
      <c r="W147" s="833" t="s">
        <v>452</v>
      </c>
      <c r="X147" s="833" t="s">
        <v>452</v>
      </c>
      <c r="AB147" s="717"/>
    </row>
    <row r="148" spans="2:28">
      <c r="B148" s="764" t="s">
        <v>1090</v>
      </c>
      <c r="C148" s="839">
        <v>0.67342725094930167</v>
      </c>
      <c r="D148" s="833">
        <v>0.30423870728166419</v>
      </c>
      <c r="E148" s="833">
        <v>0.36918854366763748</v>
      </c>
      <c r="F148" s="833" t="s">
        <v>452</v>
      </c>
      <c r="G148" s="837"/>
      <c r="H148" s="839" t="s">
        <v>452</v>
      </c>
      <c r="I148" s="833" t="s">
        <v>452</v>
      </c>
      <c r="J148" s="837"/>
      <c r="K148" s="833" t="s">
        <v>452</v>
      </c>
      <c r="L148" s="833" t="s">
        <v>452</v>
      </c>
      <c r="M148" s="817"/>
      <c r="N148" s="817"/>
      <c r="O148" s="839">
        <v>4.1732918313239358</v>
      </c>
      <c r="P148" s="833">
        <v>1.8853958019686816</v>
      </c>
      <c r="Q148" s="833">
        <v>2.2878960293552542</v>
      </c>
      <c r="R148" s="833" t="s">
        <v>452</v>
      </c>
      <c r="S148" s="832"/>
      <c r="T148" s="839" t="s">
        <v>452</v>
      </c>
      <c r="U148" s="833" t="s">
        <v>452</v>
      </c>
      <c r="V148" s="837"/>
      <c r="W148" s="833" t="s">
        <v>452</v>
      </c>
      <c r="X148" s="833" t="s">
        <v>452</v>
      </c>
      <c r="AB148" s="717"/>
    </row>
    <row r="149" spans="2:28">
      <c r="B149" s="764" t="s">
        <v>1091</v>
      </c>
      <c r="C149" s="839">
        <v>8.0325946096432968E-2</v>
      </c>
      <c r="D149" s="833">
        <v>7.437395911119471E-2</v>
      </c>
      <c r="E149" s="833">
        <v>5.9519869852382688E-3</v>
      </c>
      <c r="F149" s="833" t="s">
        <v>452</v>
      </c>
      <c r="G149" s="837"/>
      <c r="H149" s="839" t="s">
        <v>452</v>
      </c>
      <c r="I149" s="833" t="s">
        <v>452</v>
      </c>
      <c r="J149" s="837"/>
      <c r="K149" s="833" t="s">
        <v>452</v>
      </c>
      <c r="L149" s="833" t="s">
        <v>452</v>
      </c>
      <c r="M149" s="817"/>
      <c r="N149" s="817"/>
      <c r="O149" s="839">
        <v>2.6566671496387824</v>
      </c>
      <c r="P149" s="833">
        <v>2.4598135915147745</v>
      </c>
      <c r="Q149" s="833">
        <v>0.19685355812400773</v>
      </c>
      <c r="R149" s="833" t="s">
        <v>452</v>
      </c>
      <c r="S149" s="832"/>
      <c r="T149" s="839" t="s">
        <v>452</v>
      </c>
      <c r="U149" s="833" t="s">
        <v>452</v>
      </c>
      <c r="V149" s="837"/>
      <c r="W149" s="833" t="s">
        <v>452</v>
      </c>
      <c r="X149" s="833" t="s">
        <v>452</v>
      </c>
      <c r="AB149" s="717"/>
    </row>
    <row r="150" spans="2:28">
      <c r="B150" s="764" t="s">
        <v>1092</v>
      </c>
      <c r="C150" s="839">
        <v>5.8408716576144319E-2</v>
      </c>
      <c r="D150" s="833">
        <v>5.8408716576144319E-2</v>
      </c>
      <c r="E150" s="833">
        <v>0</v>
      </c>
      <c r="F150" s="833" t="s">
        <v>452</v>
      </c>
      <c r="G150" s="837"/>
      <c r="H150" s="839" t="s">
        <v>452</v>
      </c>
      <c r="I150" s="833" t="s">
        <v>452</v>
      </c>
      <c r="J150" s="837"/>
      <c r="K150" s="833" t="s">
        <v>452</v>
      </c>
      <c r="L150" s="833" t="s">
        <v>452</v>
      </c>
      <c r="M150" s="817"/>
      <c r="N150" s="817"/>
      <c r="O150" s="839">
        <v>0.22195334607922382</v>
      </c>
      <c r="P150" s="833">
        <v>0.22195334607922382</v>
      </c>
      <c r="Q150" s="833">
        <v>0</v>
      </c>
      <c r="R150" s="833" t="s">
        <v>452</v>
      </c>
      <c r="S150" s="832"/>
      <c r="T150" s="839" t="s">
        <v>452</v>
      </c>
      <c r="U150" s="833" t="s">
        <v>452</v>
      </c>
      <c r="V150" s="837"/>
      <c r="W150" s="833" t="s">
        <v>452</v>
      </c>
      <c r="X150" s="833" t="s">
        <v>452</v>
      </c>
      <c r="AB150" s="717"/>
    </row>
    <row r="151" spans="2:28">
      <c r="B151" s="764" t="s">
        <v>1093</v>
      </c>
      <c r="C151" s="839">
        <v>0.34184124413670136</v>
      </c>
      <c r="D151" s="833">
        <v>0.10033040515412185</v>
      </c>
      <c r="E151" s="833">
        <v>0.24151083898257952</v>
      </c>
      <c r="F151" s="833" t="s">
        <v>452</v>
      </c>
      <c r="G151" s="837"/>
      <c r="H151" s="839" t="s">
        <v>452</v>
      </c>
      <c r="I151" s="833" t="s">
        <v>452</v>
      </c>
      <c r="J151" s="837"/>
      <c r="K151" s="833" t="s">
        <v>452</v>
      </c>
      <c r="L151" s="833" t="s">
        <v>452</v>
      </c>
      <c r="M151" s="817"/>
      <c r="N151" s="817"/>
      <c r="O151" s="839">
        <v>0.89333183295371488</v>
      </c>
      <c r="P151" s="833">
        <v>0.26219289297191534</v>
      </c>
      <c r="Q151" s="833">
        <v>0.6311389399817996</v>
      </c>
      <c r="R151" s="833" t="s">
        <v>452</v>
      </c>
      <c r="S151" s="832"/>
      <c r="T151" s="839" t="s">
        <v>452</v>
      </c>
      <c r="U151" s="833" t="s">
        <v>452</v>
      </c>
      <c r="V151" s="837"/>
      <c r="W151" s="833" t="s">
        <v>452</v>
      </c>
      <c r="X151" s="833" t="s">
        <v>452</v>
      </c>
      <c r="AB151" s="717"/>
    </row>
    <row r="152" spans="2:28">
      <c r="B152" s="764" t="s">
        <v>1094</v>
      </c>
      <c r="C152" s="839">
        <v>2.6958800000000002E-2</v>
      </c>
      <c r="D152" s="833">
        <v>1.7004100000000001E-2</v>
      </c>
      <c r="E152" s="833">
        <v>9.9547000000000004E-3</v>
      </c>
      <c r="F152" s="833" t="s">
        <v>452</v>
      </c>
      <c r="G152" s="837"/>
      <c r="H152" s="839" t="s">
        <v>452</v>
      </c>
      <c r="I152" s="833" t="s">
        <v>452</v>
      </c>
      <c r="J152" s="837"/>
      <c r="K152" s="833" t="s">
        <v>452</v>
      </c>
      <c r="L152" s="833" t="s">
        <v>452</v>
      </c>
      <c r="M152" s="817"/>
      <c r="N152" s="817"/>
      <c r="O152" s="839">
        <v>1.161635</v>
      </c>
      <c r="P152" s="833">
        <v>0.73269499999999999</v>
      </c>
      <c r="Q152" s="833">
        <v>0.42893999999999999</v>
      </c>
      <c r="R152" s="833" t="s">
        <v>452</v>
      </c>
      <c r="S152" s="832"/>
      <c r="T152" s="839" t="s">
        <v>452</v>
      </c>
      <c r="U152" s="833" t="s">
        <v>452</v>
      </c>
      <c r="V152" s="837"/>
      <c r="W152" s="833" t="s">
        <v>452</v>
      </c>
      <c r="X152" s="833" t="s">
        <v>452</v>
      </c>
      <c r="AB152" s="717"/>
    </row>
    <row r="153" spans="2:28">
      <c r="B153" s="764" t="s">
        <v>1095</v>
      </c>
      <c r="C153" s="839">
        <v>0.5623288466048727</v>
      </c>
      <c r="D153" s="833">
        <v>7.1786661268707155E-2</v>
      </c>
      <c r="E153" s="833">
        <v>0.49054218533616561</v>
      </c>
      <c r="F153" s="833" t="s">
        <v>452</v>
      </c>
      <c r="G153" s="837"/>
      <c r="H153" s="839" t="s">
        <v>452</v>
      </c>
      <c r="I153" s="833" t="s">
        <v>452</v>
      </c>
      <c r="J153" s="837"/>
      <c r="K153" s="833" t="s">
        <v>452</v>
      </c>
      <c r="L153" s="833" t="s">
        <v>452</v>
      </c>
      <c r="M153" s="817"/>
      <c r="N153" s="817"/>
      <c r="O153" s="839">
        <v>5.3503537567146537</v>
      </c>
      <c r="P153" s="833">
        <v>0.68302388383591328</v>
      </c>
      <c r="Q153" s="833">
        <v>4.6673298728787405</v>
      </c>
      <c r="R153" s="833" t="s">
        <v>452</v>
      </c>
      <c r="S153" s="832"/>
      <c r="T153" s="839" t="s">
        <v>452</v>
      </c>
      <c r="U153" s="833" t="s">
        <v>452</v>
      </c>
      <c r="V153" s="837"/>
      <c r="W153" s="833" t="s">
        <v>452</v>
      </c>
      <c r="X153" s="833" t="s">
        <v>452</v>
      </c>
      <c r="AB153" s="717"/>
    </row>
    <row r="154" spans="2:28">
      <c r="B154" s="764" t="s">
        <v>1096</v>
      </c>
      <c r="C154" s="839">
        <v>3.4184124413670157E-2</v>
      </c>
      <c r="D154" s="833">
        <v>2.3700992926811309E-2</v>
      </c>
      <c r="E154" s="833">
        <v>1.0483131486858846E-2</v>
      </c>
      <c r="F154" s="833" t="s">
        <v>452</v>
      </c>
      <c r="G154" s="837"/>
      <c r="H154" s="839" t="s">
        <v>452</v>
      </c>
      <c r="I154" s="833" t="s">
        <v>452</v>
      </c>
      <c r="J154" s="837"/>
      <c r="K154" s="833" t="s">
        <v>452</v>
      </c>
      <c r="L154" s="833" t="s">
        <v>452</v>
      </c>
      <c r="M154" s="817"/>
      <c r="N154" s="817"/>
      <c r="O154" s="839">
        <v>2.8497673010600599</v>
      </c>
      <c r="P154" s="833">
        <v>1.9758386620683084</v>
      </c>
      <c r="Q154" s="833">
        <v>0.87392863899175177</v>
      </c>
      <c r="R154" s="833" t="s">
        <v>452</v>
      </c>
      <c r="S154" s="832"/>
      <c r="T154" s="839" t="s">
        <v>452</v>
      </c>
      <c r="U154" s="833" t="s">
        <v>452</v>
      </c>
      <c r="V154" s="837"/>
      <c r="W154" s="833" t="s">
        <v>452</v>
      </c>
      <c r="X154" s="833" t="s">
        <v>452</v>
      </c>
      <c r="AB154" s="717"/>
    </row>
    <row r="155" spans="2:28">
      <c r="B155" s="764" t="s">
        <v>1098</v>
      </c>
      <c r="C155" s="839">
        <v>0.23074283979227342</v>
      </c>
      <c r="D155" s="833" t="s">
        <v>452</v>
      </c>
      <c r="E155" s="833" t="s">
        <v>452</v>
      </c>
      <c r="F155" s="833" t="s">
        <v>452</v>
      </c>
      <c r="G155" s="837"/>
      <c r="H155" s="839">
        <v>4.273015551708767E-2</v>
      </c>
      <c r="I155" s="833" t="s">
        <v>452</v>
      </c>
      <c r="J155" s="837"/>
      <c r="K155" s="833">
        <v>4.273015551708767E-2</v>
      </c>
      <c r="L155" s="833" t="s">
        <v>452</v>
      </c>
      <c r="M155" s="817"/>
      <c r="N155" s="817"/>
      <c r="O155" s="839">
        <v>2.3157887007100353</v>
      </c>
      <c r="P155" s="833" t="s">
        <v>452</v>
      </c>
      <c r="Q155" s="833" t="s">
        <v>452</v>
      </c>
      <c r="R155" s="833" t="s">
        <v>452</v>
      </c>
      <c r="S155" s="832"/>
      <c r="T155" s="839">
        <v>0.42884975939074732</v>
      </c>
      <c r="U155" s="833" t="s">
        <v>452</v>
      </c>
      <c r="V155" s="837"/>
      <c r="W155" s="833">
        <v>0.42884975939074732</v>
      </c>
      <c r="X155" s="833" t="s">
        <v>452</v>
      </c>
      <c r="AB155" s="717"/>
    </row>
    <row r="156" spans="2:28">
      <c r="B156" s="764" t="s">
        <v>94</v>
      </c>
      <c r="C156" s="839">
        <v>1.1092748372235959</v>
      </c>
      <c r="D156" s="833">
        <v>0.16408379718561666</v>
      </c>
      <c r="E156" s="833">
        <v>0.94519104003797927</v>
      </c>
      <c r="F156" s="833" t="s">
        <v>452</v>
      </c>
      <c r="G156" s="837"/>
      <c r="H156" s="839" t="s">
        <v>452</v>
      </c>
      <c r="I156" s="833" t="s">
        <v>452</v>
      </c>
      <c r="J156" s="837"/>
      <c r="K156" s="833" t="s">
        <v>452</v>
      </c>
      <c r="L156" s="833" t="s">
        <v>452</v>
      </c>
      <c r="M156" s="817"/>
      <c r="N156" s="817"/>
      <c r="O156" s="839">
        <v>1.8390271265072529</v>
      </c>
      <c r="P156" s="833">
        <v>0.27202866586239799</v>
      </c>
      <c r="Q156" s="833">
        <v>1.5669984606448553</v>
      </c>
      <c r="R156" s="833" t="s">
        <v>452</v>
      </c>
      <c r="S156" s="832"/>
      <c r="T156" s="839" t="s">
        <v>452</v>
      </c>
      <c r="U156" s="833" t="s">
        <v>452</v>
      </c>
      <c r="V156" s="837"/>
      <c r="W156" s="833" t="s">
        <v>452</v>
      </c>
      <c r="X156" s="833" t="s">
        <v>452</v>
      </c>
      <c r="AB156" s="717"/>
    </row>
    <row r="157" spans="2:28">
      <c r="B157" s="764" t="s">
        <v>1097</v>
      </c>
      <c r="C157" s="839">
        <v>0.49593826368973154</v>
      </c>
      <c r="D157" s="833">
        <v>8.6518824818146309E-2</v>
      </c>
      <c r="E157" s="833">
        <v>0.40941943887158522</v>
      </c>
      <c r="F157" s="833" t="s">
        <v>452</v>
      </c>
      <c r="G157" s="837"/>
      <c r="H157" s="839" t="s">
        <v>452</v>
      </c>
      <c r="I157" s="833" t="s">
        <v>452</v>
      </c>
      <c r="J157" s="837"/>
      <c r="K157" s="833" t="s">
        <v>452</v>
      </c>
      <c r="L157" s="833" t="s">
        <v>452</v>
      </c>
      <c r="M157" s="817"/>
      <c r="N157" s="817"/>
      <c r="O157" s="839">
        <v>1.076677989256779</v>
      </c>
      <c r="P157" s="833">
        <v>0.1878316741382543</v>
      </c>
      <c r="Q157" s="833">
        <v>0.88884631511852474</v>
      </c>
      <c r="R157" s="833" t="s">
        <v>452</v>
      </c>
      <c r="S157" s="832"/>
      <c r="T157" s="839" t="s">
        <v>452</v>
      </c>
      <c r="U157" s="833" t="s">
        <v>452</v>
      </c>
      <c r="V157" s="837"/>
      <c r="W157" s="833" t="s">
        <v>452</v>
      </c>
      <c r="X157" s="833" t="s">
        <v>452</v>
      </c>
      <c r="AB157" s="717"/>
    </row>
    <row r="158" spans="2:28">
      <c r="B158" s="764" t="s">
        <v>1099</v>
      </c>
      <c r="C158" s="839">
        <v>8.2713916757164316E-2</v>
      </c>
      <c r="D158" s="833">
        <v>2.8133985291552491E-2</v>
      </c>
      <c r="E158" s="833">
        <v>5.4579931465611825E-2</v>
      </c>
      <c r="F158" s="833" t="s">
        <v>452</v>
      </c>
      <c r="G158" s="837"/>
      <c r="H158" s="839" t="s">
        <v>452</v>
      </c>
      <c r="I158" s="833" t="s">
        <v>452</v>
      </c>
      <c r="J158" s="837"/>
      <c r="K158" s="833" t="s">
        <v>452</v>
      </c>
      <c r="L158" s="833" t="s">
        <v>452</v>
      </c>
      <c r="M158" s="817"/>
      <c r="N158" s="817"/>
      <c r="O158" s="839">
        <v>2.4265188904902542</v>
      </c>
      <c r="P158" s="833">
        <v>0.82534656139124296</v>
      </c>
      <c r="Q158" s="833">
        <v>1.6011723290990112</v>
      </c>
      <c r="R158" s="833" t="s">
        <v>452</v>
      </c>
      <c r="S158" s="832"/>
      <c r="T158" s="839" t="s">
        <v>452</v>
      </c>
      <c r="U158" s="833" t="s">
        <v>452</v>
      </c>
      <c r="V158" s="837"/>
      <c r="W158" s="833" t="s">
        <v>452</v>
      </c>
      <c r="X158" s="833" t="s">
        <v>452</v>
      </c>
      <c r="AB158" s="717"/>
    </row>
    <row r="159" spans="2:28">
      <c r="B159" s="764" t="s">
        <v>1100</v>
      </c>
      <c r="C159" s="839" t="s">
        <v>452</v>
      </c>
      <c r="D159" s="833" t="s">
        <v>452</v>
      </c>
      <c r="E159" s="833" t="s">
        <v>452</v>
      </c>
      <c r="F159" s="833" t="s">
        <v>452</v>
      </c>
      <c r="G159" s="837"/>
      <c r="H159" s="839" t="s">
        <v>452</v>
      </c>
      <c r="I159" s="833" t="s">
        <v>452</v>
      </c>
      <c r="J159" s="837"/>
      <c r="K159" s="833" t="s">
        <v>452</v>
      </c>
      <c r="L159" s="833" t="s">
        <v>452</v>
      </c>
      <c r="M159" s="817"/>
      <c r="N159" s="817"/>
      <c r="O159" s="839" t="s">
        <v>452</v>
      </c>
      <c r="P159" s="833" t="s">
        <v>452</v>
      </c>
      <c r="Q159" s="833" t="s">
        <v>452</v>
      </c>
      <c r="R159" s="833" t="s">
        <v>452</v>
      </c>
      <c r="S159" s="832"/>
      <c r="T159" s="839" t="s">
        <v>452</v>
      </c>
      <c r="U159" s="833" t="s">
        <v>452</v>
      </c>
      <c r="V159" s="837"/>
      <c r="W159" s="833" t="s">
        <v>452</v>
      </c>
      <c r="X159" s="833" t="s">
        <v>452</v>
      </c>
      <c r="AB159" s="717"/>
    </row>
    <row r="160" spans="2:28">
      <c r="B160" s="764" t="s">
        <v>548</v>
      </c>
      <c r="C160" s="840">
        <f>IF(ISNUMBER(INDEX(Database!$G$6:$G$197, MATCH($B160&amp;"USD bn", Database!$AD$6:$AD$197, 0))), INDEX(Database!$G$6:$G$197, MATCH($B160&amp;"USD bn", Database!$AD$6:$AD$197, 0)), "")</f>
        <v>2.4164497040512201</v>
      </c>
      <c r="D160" s="837">
        <f>IF(ISNUMBER(INDEX(Database!$H$6:$H$197, MATCH($B160&amp;"USD bn", Database!$AD$6:$AD$197, 0))), INDEX(Database!$H$6:$H$197, MATCH($B160&amp;"USD bn", Database!$AD$6:$AD$197, 0)), "")</f>
        <v>0.60983861014562779</v>
      </c>
      <c r="E160" s="837">
        <f>IF(ISNUMBER(INDEX(Database!$J$6:$J$197, MATCH($B160&amp;"USD bn", Database!$AD$6:$AD$197, 0))), INDEX(Database!$J$6:$J$197, MATCH($B160&amp;"USD bn", Database!$AD$6:$AD$197, 0)), "")</f>
        <v>1.8066110939055922</v>
      </c>
      <c r="F160" s="833" t="str">
        <f>IF(ISNUMBER(INDEX(Database!$L$6:$L$197, MATCH($B160&amp;"USD bn", Database!$AD$6:$AD$197, 0))), INDEX(Database!$L$6:$L$197, MATCH($B160&amp;"USD bn", Database!$AD$6:$AD$197, 0)), "")</f>
        <v/>
      </c>
      <c r="G160" s="837"/>
      <c r="H160" s="840">
        <f>IF(ISNUMBER(INDEX(Database!$P$6:$P$197, MATCH($B160&amp;"USD bn", Database!$AD$6:$AD$197, 0))), INDEX(Database!$P$6:$P$197, MATCH($B160&amp;"USD bn", Database!$AD$6:$AD$197, 0)), "")</f>
        <v>0.60124933394639357</v>
      </c>
      <c r="I160" s="837">
        <f>IF(ISNUMBER(INDEX(Database!$Q$6:$Q$197, MATCH($B160&amp;"USD bn", Database!$AD$6:$AD$197, 0))), INDEX(Database!$Q$6:$Q$197, MATCH($B160&amp;"USD bn", Database!$AD$6:$AD$197, 0)), "")</f>
        <v>0.60124933394639357</v>
      </c>
      <c r="J160" s="837"/>
      <c r="K160" s="837" t="str">
        <f>IF(ISNUMBER(INDEX(Database!$U$6:$U$197, MATCH($B160&amp;"USD bn", Database!$AD$6:$AD$197, 0))), INDEX(Database!$U$6:$U$197, MATCH($B160&amp;"USD bn", Database!$AD$6:$AD$197, 0)), "")</f>
        <v/>
      </c>
      <c r="L160" s="837" t="str">
        <f>IF(ISNUMBER(INDEX(Database!$W$6:$W$197, MATCH($B160&amp;"USD bn", Database!$AD$6:$AD$197, 0))), INDEX(Database!$W$6:$W$197, MATCH($B160&amp;"USD bn", Database!$AD$6:$AD$197, 0)), "")</f>
        <v/>
      </c>
      <c r="M160" s="817"/>
      <c r="N160" s="817"/>
      <c r="O160" s="835">
        <f>IF(ISNUMBER(INDEX(Database!$G$6:$G$197, MATCH($B160&amp;"% GDP", Database!$AD$6:$AD$197, 0))), INDEX(Database!$G$6:$G$197, MATCH($B160&amp;"% GDP", Database!$AD$6:$AD$197, 0)), "")</f>
        <v>2.5012230728926022</v>
      </c>
      <c r="P160" s="836">
        <f>IF(ISNUMBER(INDEX(Database!$H$6:$H$197, MATCH($B160&amp;"% GDP", Database!$AD$6:$AD$197, 0))), INDEX(Database!$H$6:$H$197, MATCH($B160&amp;"% GDP", Database!$AD$6:$AD$197, 0)), "")</f>
        <v>0.63123283711626088</v>
      </c>
      <c r="Q160" s="836">
        <f>IF(ISNUMBER(INDEX(Database!$J$6:$J$197, MATCH($B160&amp;"% GDP", Database!$AD$6:$AD$197, 0))), INDEX(Database!$J$6:$J$197, MATCH($B160&amp;"% GDP", Database!$AD$6:$AD$197, 0)), "")</f>
        <v>1.8699902357763409</v>
      </c>
      <c r="R160" s="836" t="str">
        <f>IF(ISNUMBER(INDEX(Database!$L$6:$L$197, MATCH($B160&amp;"% GDP", Database!$AD$6:$AD$197, 0))), INDEX(Database!$L$6:$L$197, MATCH($B160&amp;"% GDP", Database!$AD$6:$AD$197, 0)), "")</f>
        <v/>
      </c>
      <c r="S160" s="836"/>
      <c r="T160" s="835">
        <f>IF(ISNUMBER(INDEX(Database!$P$6:$P$197, MATCH($B160&amp;"% GDP", Database!$AD$6:$AD$197, 0))), INDEX(Database!$P$6:$P$197, MATCH($B160&amp;"% GDP", Database!$AD$6:$AD$197, 0)), "")</f>
        <v>0.62234223377659526</v>
      </c>
      <c r="U160" s="836">
        <f>IF(ISNUMBER(INDEX(Database!$Q$6:$Q$197, MATCH($B160&amp;"% GDP", Database!$AD$6:$AD$197, 0))), INDEX(Database!$Q$6:$Q$197, MATCH($B160&amp;"% GDP", Database!$AD$6:$AD$197, 0)), "")</f>
        <v>0.62234223377659526</v>
      </c>
      <c r="V160" s="836"/>
      <c r="W160" s="836" t="str">
        <f>IF(ISNUMBER(INDEX(Database!$U$6:$U$197, MATCH($B160&amp;"% GDP", Database!$AD$6:$AD$197, 0))), INDEX(Database!$U$6:$U$197, MATCH($B160&amp;"% GDP", Database!$AD$6:$AD$197, 0)), "")</f>
        <v/>
      </c>
      <c r="X160" s="836" t="str">
        <f>IF(ISNUMBER(INDEX(Database!$W$6:$W$197, MATCH($B160&amp;"% GDP", Database!$AD$6:$AD$197, 0))), INDEX(Database!$W$6:$W$197, MATCH($B160&amp;"% GDP", Database!$AD$6:$AD$197, 0)), "")</f>
        <v/>
      </c>
      <c r="AB160" s="562"/>
    </row>
    <row r="161" spans="2:28">
      <c r="B161" s="764" t="s">
        <v>1101</v>
      </c>
      <c r="C161" s="839">
        <v>9.5898252335767705E-3</v>
      </c>
      <c r="D161" s="833">
        <v>9.5898252335767705E-3</v>
      </c>
      <c r="E161" s="833">
        <v>0</v>
      </c>
      <c r="F161" s="833" t="s">
        <v>452</v>
      </c>
      <c r="G161" s="837"/>
      <c r="H161" s="839" t="s">
        <v>452</v>
      </c>
      <c r="I161" s="833" t="s">
        <v>452</v>
      </c>
      <c r="J161" s="837"/>
      <c r="K161" s="833" t="s">
        <v>452</v>
      </c>
      <c r="L161" s="833" t="s">
        <v>452</v>
      </c>
      <c r="M161" s="817"/>
      <c r="N161" s="817"/>
      <c r="O161" s="839">
        <v>0.51504167038820781</v>
      </c>
      <c r="P161" s="833">
        <v>0.51504167038820781</v>
      </c>
      <c r="Q161" s="833">
        <v>0</v>
      </c>
      <c r="R161" s="833" t="s">
        <v>452</v>
      </c>
      <c r="S161" s="832"/>
      <c r="T161" s="839" t="s">
        <v>452</v>
      </c>
      <c r="U161" s="833" t="s">
        <v>452</v>
      </c>
      <c r="V161" s="837"/>
      <c r="W161" s="833" t="s">
        <v>452</v>
      </c>
      <c r="X161" s="833" t="s">
        <v>452</v>
      </c>
      <c r="AB161" s="717"/>
    </row>
    <row r="162" spans="2:28">
      <c r="B162" s="764" t="s">
        <v>550</v>
      </c>
      <c r="C162" s="840">
        <f>IF(ISNUMBER(INDEX(Database!$G$6:$G$197, MATCH($B162&amp;"USD bn", Database!$AD$6:$AD$197, 0))), INDEX(Database!$G$6:$G$197, MATCH($B162&amp;"USD bn", Database!$AD$6:$AD$197, 0)), "")</f>
        <v>2.2327431550550991</v>
      </c>
      <c r="D162" s="837">
        <f>IF(ISNUMBER(INDEX(Database!$H$6:$H$197, MATCH($B162&amp;"USD bn", Database!$AD$6:$AD$197, 0))), INDEX(Database!$H$6:$H$197, MATCH($B162&amp;"USD bn", Database!$AD$6:$AD$197, 0)), "")</f>
        <v>0.75020170009851339</v>
      </c>
      <c r="E162" s="837">
        <f>IF(ISNUMBER(INDEX(Database!$J$6:$J$197, MATCH($B162&amp;"USD bn", Database!$AD$6:$AD$197, 0))), INDEX(Database!$J$6:$J$197, MATCH($B162&amp;"USD bn", Database!$AD$6:$AD$197, 0)), "")</f>
        <v>1.4825414549565861</v>
      </c>
      <c r="F162" s="833" t="str">
        <f>IF(ISNUMBER(INDEX(Database!$L$6:$L$197, MATCH($B162&amp;"USD bn", Database!$AD$6:$AD$197, 0))), INDEX(Database!$L$6:$L$197, MATCH($B162&amp;"USD bn", Database!$AD$6:$AD$197, 0)), "")</f>
        <v/>
      </c>
      <c r="G162" s="837"/>
      <c r="H162" s="840">
        <f>IF(ISNUMBER(INDEX(Database!$P$6:$P$197, MATCH($B162&amp;"USD bn", Database!$AD$6:$AD$197, 0))), INDEX(Database!$P$6:$P$197, MATCH($B162&amp;"USD bn", Database!$AD$6:$AD$197, 0)), "")</f>
        <v>0.21434334288528953</v>
      </c>
      <c r="I162" s="837">
        <f>IF(ISNUMBER(INDEX(Database!$Q$6:$Q$197, MATCH($B162&amp;"USD bn", Database!$AD$6:$AD$197, 0))), INDEX(Database!$Q$6:$Q$197, MATCH($B162&amp;"USD bn", Database!$AD$6:$AD$197, 0)), "")</f>
        <v>0.21434334288528953</v>
      </c>
      <c r="J162" s="837"/>
      <c r="K162" s="837" t="str">
        <f>IF(ISNUMBER(INDEX(Database!$U$6:$U$197, MATCH($B162&amp;"USD bn", Database!$AD$6:$AD$197, 0))), INDEX(Database!$U$6:$U$197, MATCH($B162&amp;"USD bn", Database!$AD$6:$AD$197, 0)), "")</f>
        <v/>
      </c>
      <c r="L162" s="837" t="str">
        <f>IF(ISNUMBER(INDEX(Database!$W$6:$W$197, MATCH($B162&amp;"USD bn", Database!$AD$6:$AD$197, 0))), INDEX(Database!$W$6:$W$197, MATCH($B162&amp;"USD bn", Database!$AD$6:$AD$197, 0)), "")</f>
        <v/>
      </c>
      <c r="M162" s="817"/>
      <c r="N162" s="817"/>
      <c r="O162" s="835">
        <f>IF(ISNUMBER(INDEX(Database!$G$6:$G$197, MATCH($B162&amp;"% GDP", Database!$AD$6:$AD$197, 0))), INDEX(Database!$G$6:$G$197, MATCH($B162&amp;"% GDP", Database!$AD$6:$AD$197, 0)), "")</f>
        <v>3.2595714054750369</v>
      </c>
      <c r="P162" s="836">
        <f>IF(ISNUMBER(INDEX(Database!$H$6:$H$197, MATCH($B162&amp;"% GDP", Database!$AD$6:$AD$197, 0))), INDEX(Database!$H$6:$H$197, MATCH($B162&amp;"% GDP", Database!$AD$6:$AD$197, 0)), "")</f>
        <v>1.0952159922396125</v>
      </c>
      <c r="Q162" s="836">
        <f>IF(ISNUMBER(INDEX(Database!$J$6:$J$197, MATCH($B162&amp;"% GDP", Database!$AD$6:$AD$197, 0))), INDEX(Database!$J$6:$J$197, MATCH($B162&amp;"% GDP", Database!$AD$6:$AD$197, 0)), "")</f>
        <v>2.164355413235425</v>
      </c>
      <c r="R162" s="836" t="str">
        <f>IF(ISNUMBER(INDEX(Database!$L$6:$L$197, MATCH($B162&amp;"% GDP", Database!$AD$6:$AD$197, 0))), INDEX(Database!$L$6:$L$197, MATCH($B162&amp;"% GDP", Database!$AD$6:$AD$197, 0)), "")</f>
        <v/>
      </c>
      <c r="S162" s="836"/>
      <c r="T162" s="835">
        <f>IF(ISNUMBER(INDEX(Database!$P$6:$P$197, MATCH($B162&amp;"% GDP", Database!$AD$6:$AD$197, 0))), INDEX(Database!$P$6:$P$197, MATCH($B162&amp;"% GDP", Database!$AD$6:$AD$197, 0)), "")</f>
        <v>0.31291885492560356</v>
      </c>
      <c r="U162" s="836">
        <f>IF(ISNUMBER(INDEX(Database!$Q$6:$Q$197, MATCH($B162&amp;"% GDP", Database!$AD$6:$AD$197, 0))), INDEX(Database!$Q$6:$Q$197, MATCH($B162&amp;"% GDP", Database!$AD$6:$AD$197, 0)), "")</f>
        <v>0.31291885492560356</v>
      </c>
      <c r="V162" s="836"/>
      <c r="W162" s="836" t="str">
        <f>IF(ISNUMBER(INDEX(Database!$U$6:$U$197, MATCH($B162&amp;"% GDP", Database!$AD$6:$AD$197, 0))), INDEX(Database!$U$6:$U$197, MATCH($B162&amp;"% GDP", Database!$AD$6:$AD$197, 0)), "")</f>
        <v/>
      </c>
      <c r="X162" s="836" t="str">
        <f>IF(ISNUMBER(INDEX(Database!$W$6:$W$197, MATCH($B162&amp;"% GDP", Database!$AD$6:$AD$197, 0))), INDEX(Database!$W$6:$W$197, MATCH($B162&amp;"% GDP", Database!$AD$6:$AD$197, 0)), "")</f>
        <v/>
      </c>
      <c r="AB162" s="562"/>
    </row>
    <row r="163" spans="2:28">
      <c r="B163" s="764" t="s">
        <v>1102</v>
      </c>
      <c r="C163" s="839">
        <v>0.20278489178267939</v>
      </c>
      <c r="D163" s="833">
        <v>0.12763399533149508</v>
      </c>
      <c r="E163" s="833">
        <v>7.5150896451184307E-2</v>
      </c>
      <c r="F163" s="833" t="s">
        <v>452</v>
      </c>
      <c r="G163" s="837"/>
      <c r="H163" s="839">
        <v>7.1475037385637244E-3</v>
      </c>
      <c r="I163" s="833" t="s">
        <v>452</v>
      </c>
      <c r="J163" s="837"/>
      <c r="K163" s="833">
        <v>7.1475037385637244E-3</v>
      </c>
      <c r="L163" s="833" t="s">
        <v>452</v>
      </c>
      <c r="M163" s="817"/>
      <c r="N163" s="817"/>
      <c r="O163" s="839">
        <v>1.424205631090101</v>
      </c>
      <c r="P163" s="833">
        <v>0.8964033428311311</v>
      </c>
      <c r="Q163" s="833">
        <v>0.52780228825896991</v>
      </c>
      <c r="R163" s="833" t="s">
        <v>452</v>
      </c>
      <c r="S163" s="832"/>
      <c r="T163" s="839">
        <v>5.0198587198543344E-2</v>
      </c>
      <c r="U163" s="833" t="s">
        <v>452</v>
      </c>
      <c r="V163" s="837"/>
      <c r="W163" s="833">
        <v>5.0198587198543344E-2</v>
      </c>
      <c r="X163" s="833" t="s">
        <v>452</v>
      </c>
      <c r="AB163" s="717"/>
    </row>
    <row r="164" spans="2:28">
      <c r="B164" s="764" t="s">
        <v>566</v>
      </c>
      <c r="C164" s="840">
        <f>IF(ISNUMBER(INDEX(Database!$G$6:$G$197, MATCH($B164&amp;"USD bn", Database!$AD$6:$AD$197, 0))), INDEX(Database!$G$6:$G$197, MATCH($B164&amp;"USD bn", Database!$AD$6:$AD$197, 0)), "")</f>
        <v>9.6093184602259421E-2</v>
      </c>
      <c r="D164" s="837">
        <f>IF(ISNUMBER(INDEX(Database!$H$6:$H$197, MATCH($B164&amp;"USD bn", Database!$AD$6:$AD$197, 0))), INDEX(Database!$H$6:$H$197, MATCH($B164&amp;"USD bn", Database!$AD$6:$AD$197, 0)), "")</f>
        <v>8.4557826754839902E-2</v>
      </c>
      <c r="E164" s="837">
        <f>IF(ISNUMBER(INDEX(Database!$J$6:$J$197, MATCH($B164&amp;"USD bn", Database!$AD$6:$AD$197, 0))), INDEX(Database!$J$6:$J$197, MATCH($B164&amp;"USD bn", Database!$AD$6:$AD$197, 0)), "")</f>
        <v>1.1535357847419518E-2</v>
      </c>
      <c r="F164" s="833" t="str">
        <f>IF(ISNUMBER(INDEX(Database!$L$6:$L$197, MATCH($B164&amp;"USD bn", Database!$AD$6:$AD$197, 0))), INDEX(Database!$L$6:$L$197, MATCH($B164&amp;"USD bn", Database!$AD$6:$AD$197, 0)), "")</f>
        <v/>
      </c>
      <c r="G164" s="837"/>
      <c r="H164" s="840">
        <f>IF(ISNUMBER(INDEX(Database!$P$6:$P$197, MATCH($B164&amp;"USD bn", Database!$AD$6:$AD$197, 0))), INDEX(Database!$P$6:$P$197, MATCH($B164&amp;"USD bn", Database!$AD$6:$AD$197, 0)), "")</f>
        <v>2.609809467741972E-2</v>
      </c>
      <c r="I164" s="837">
        <f>IF(ISNUMBER(INDEX(Database!$Q$6:$Q$197, MATCH($B164&amp;"USD bn", Database!$AD$6:$AD$197, 0))), INDEX(Database!$Q$6:$Q$197, MATCH($B164&amp;"USD bn", Database!$AD$6:$AD$197, 0)), "")</f>
        <v>2.609809467741972E-2</v>
      </c>
      <c r="J164" s="837"/>
      <c r="K164" s="837" t="str">
        <f>IF(ISNUMBER(INDEX(Database!$U$6:$U$197, MATCH($B164&amp;"USD bn", Database!$AD$6:$AD$197, 0))), INDEX(Database!$U$6:$U$197, MATCH($B164&amp;"USD bn", Database!$AD$6:$AD$197, 0)), "")</f>
        <v/>
      </c>
      <c r="L164" s="837" t="str">
        <f>IF(ISNUMBER(INDEX(Database!$W$6:$W$197, MATCH($B164&amp;"USD bn", Database!$AD$6:$AD$197, 0))), INDEX(Database!$W$6:$W$197, MATCH($B164&amp;"USD bn", Database!$AD$6:$AD$197, 0)), "")</f>
        <v/>
      </c>
      <c r="M164" s="817"/>
      <c r="N164" s="817"/>
      <c r="O164" s="835">
        <f>IF(ISNUMBER(INDEX(Database!$G$6:$G$197, MATCH($B164&amp;"% GDP", Database!$AD$6:$AD$197, 0))), INDEX(Database!$G$6:$G$197, MATCH($B164&amp;"% GDP", Database!$AD$6:$AD$197, 0)), "")</f>
        <v>6.702226729381966</v>
      </c>
      <c r="P164" s="836">
        <f>IF(ISNUMBER(INDEX(Database!$H$6:$H$197, MATCH($B164&amp;"% GDP", Database!$AD$6:$AD$197, 0))), INDEX(Database!$H$6:$H$197, MATCH($B164&amp;"% GDP", Database!$AD$6:$AD$197, 0)), "")</f>
        <v>5.8976682789781556</v>
      </c>
      <c r="Q164" s="836">
        <f>IF(ISNUMBER(INDEX(Database!$J$6:$J$197, MATCH($B164&amp;"% GDP", Database!$AD$6:$AD$197, 0))), INDEX(Database!$J$6:$J$197, MATCH($B164&amp;"% GDP", Database!$AD$6:$AD$197, 0)), "")</f>
        <v>0.80455845040381013</v>
      </c>
      <c r="R164" s="836" t="str">
        <f>IF(ISNUMBER(INDEX(Database!$L$6:$L$197, MATCH($B164&amp;"% GDP", Database!$AD$6:$AD$197, 0))), INDEX(Database!$L$6:$L$197, MATCH($B164&amp;"% GDP", Database!$AD$6:$AD$197, 0)), "")</f>
        <v/>
      </c>
      <c r="S164" s="836"/>
      <c r="T164" s="835">
        <f>IF(ISNUMBER(INDEX(Database!$P$6:$P$197, MATCH($B164&amp;"% GDP", Database!$AD$6:$AD$197, 0))), INDEX(Database!$P$6:$P$197, MATCH($B164&amp;"% GDP", Database!$AD$6:$AD$197, 0)), "")</f>
        <v>1.8202679873389367</v>
      </c>
      <c r="U164" s="836">
        <f>IF(ISNUMBER(INDEX(Database!$Q$6:$Q$197, MATCH($B164&amp;"% GDP", Database!$AD$6:$AD$197, 0))), INDEX(Database!$Q$6:$Q$197, MATCH($B164&amp;"% GDP", Database!$AD$6:$AD$197, 0)), "")</f>
        <v>1.8202679873389367</v>
      </c>
      <c r="V164" s="836"/>
      <c r="W164" s="836" t="str">
        <f>IF(ISNUMBER(INDEX(Database!$U$6:$U$197, MATCH($B164&amp;"% GDP", Database!$AD$6:$AD$197, 0))), INDEX(Database!$U$6:$U$197, MATCH($B164&amp;"% GDP", Database!$AD$6:$AD$197, 0)), "")</f>
        <v/>
      </c>
      <c r="X164" s="836" t="str">
        <f>IF(ISNUMBER(INDEX(Database!$W$6:$W$197, MATCH($B164&amp;"% GDP", Database!$AD$6:$AD$197, 0))), INDEX(Database!$W$6:$W$197, MATCH($B164&amp;"% GDP", Database!$AD$6:$AD$197, 0)), "")</f>
        <v/>
      </c>
      <c r="AB164" s="562"/>
    </row>
    <row r="165" spans="2:28">
      <c r="B165" s="764" t="s">
        <v>1103</v>
      </c>
      <c r="C165" s="839">
        <v>0.12974106614115102</v>
      </c>
      <c r="D165" s="833">
        <v>3.7753308758946461E-2</v>
      </c>
      <c r="E165" s="833">
        <v>9.1987757382204563E-2</v>
      </c>
      <c r="F165" s="833" t="s">
        <v>452</v>
      </c>
      <c r="G165" s="837"/>
      <c r="H165" s="839" t="s">
        <v>452</v>
      </c>
      <c r="I165" s="833" t="s">
        <v>452</v>
      </c>
      <c r="J165" s="837"/>
      <c r="K165" s="833" t="s">
        <v>452</v>
      </c>
      <c r="L165" s="833" t="s">
        <v>452</v>
      </c>
      <c r="M165" s="817"/>
      <c r="N165" s="817"/>
      <c r="O165" s="839">
        <v>1.5772108885728484</v>
      </c>
      <c r="P165" s="833">
        <v>0.45895206063345811</v>
      </c>
      <c r="Q165" s="833">
        <v>1.1182588279393901</v>
      </c>
      <c r="R165" s="833" t="s">
        <v>452</v>
      </c>
      <c r="S165" s="832"/>
      <c r="T165" s="839" t="s">
        <v>452</v>
      </c>
      <c r="U165" s="833" t="s">
        <v>452</v>
      </c>
      <c r="V165" s="837"/>
      <c r="W165" s="833" t="s">
        <v>452</v>
      </c>
      <c r="X165" s="833" t="s">
        <v>452</v>
      </c>
      <c r="AB165" s="717"/>
    </row>
    <row r="166" spans="2:28">
      <c r="B166" s="764" t="s">
        <v>38</v>
      </c>
      <c r="C166" s="840">
        <f>IF(ISNUMBER(INDEX(Database!$G$6:$G$197, MATCH($B166&amp;"USD bn", Database!$AD$6:$AD$197, 0))), INDEX(Database!$G$6:$G$197, MATCH($B166&amp;"USD bn", Database!$AD$6:$AD$197, 0)), "")</f>
        <v>0.81767544130184866</v>
      </c>
      <c r="D166" s="837">
        <f>IF(ISNUMBER(INDEX(Database!$H$6:$H$197, MATCH($B166&amp;"USD bn", Database!$AD$6:$AD$197, 0))), INDEX(Database!$H$6:$H$197, MATCH($B166&amp;"USD bn", Database!$AD$6:$AD$197, 0)), "")</f>
        <v>0.51664070171808341</v>
      </c>
      <c r="E166" s="837">
        <f>IF(ISNUMBER(INDEX(Database!$J$6:$J$197, MATCH($B166&amp;"USD bn", Database!$AD$6:$AD$197, 0))), INDEX(Database!$J$6:$J$197, MATCH($B166&amp;"USD bn", Database!$AD$6:$AD$197, 0)), "")</f>
        <v>0.3010347395837652</v>
      </c>
      <c r="F166" s="833" t="str">
        <f>IF(ISNUMBER(INDEX(Database!$L$6:$L$197, MATCH($B166&amp;"USD bn", Database!$AD$6:$AD$197, 0))), INDEX(Database!$L$6:$L$197, MATCH($B166&amp;"USD bn", Database!$AD$6:$AD$197, 0)), "")</f>
        <v/>
      </c>
      <c r="G166" s="837"/>
      <c r="H166" s="840">
        <f>IF(ISNUMBER(INDEX(Database!$P$6:$P$197, MATCH($B166&amp;"USD bn", Database!$AD$6:$AD$197, 0))), INDEX(Database!$P$6:$P$197, MATCH($B166&amp;"USD bn", Database!$AD$6:$AD$197, 0)), "")</f>
        <v>0.27967754522140348</v>
      </c>
      <c r="I166" s="837" t="str">
        <f>IF(ISNUMBER(INDEX(Database!$Q$6:$Q$197, MATCH($B166&amp;"USD bn", Database!$AD$6:$AD$197, 0))), INDEX(Database!$Q$6:$Q$197, MATCH($B166&amp;"USD bn", Database!$AD$6:$AD$197, 0)), "")</f>
        <v/>
      </c>
      <c r="J166" s="837"/>
      <c r="K166" s="837">
        <f>IF(ISNUMBER(INDEX(Database!$U$6:$U$197, MATCH($B166&amp;"USD bn", Database!$AD$6:$AD$197, 0))), INDEX(Database!$U$6:$U$197, MATCH($B166&amp;"USD bn", Database!$AD$6:$AD$197, 0)), "")</f>
        <v>0.27967754522140348</v>
      </c>
      <c r="L166" s="837">
        <f>IF(ISNUMBER(INDEX(Database!$W$6:$W$197, MATCH($B166&amp;"USD bn", Database!$AD$6:$AD$197, 0))), INDEX(Database!$W$6:$W$197, MATCH($B166&amp;"USD bn", Database!$AD$6:$AD$197, 0)), "")</f>
        <v>0</v>
      </c>
      <c r="M166" s="817"/>
      <c r="N166" s="817"/>
      <c r="O166" s="835">
        <f>IF(ISNUMBER(INDEX(Database!$G$6:$G$197, MATCH($B166&amp;"% GDP", Database!$AD$6:$AD$197, 0))), INDEX(Database!$G$6:$G$197, MATCH($B166&amp;"% GDP", Database!$AD$6:$AD$197, 0)), "")</f>
        <v>3.43159415816337</v>
      </c>
      <c r="P166" s="836">
        <f>IF(ISNUMBER(INDEX(Database!$H$6:$H$197, MATCH($B166&amp;"% GDP", Database!$AD$6:$AD$197, 0))), INDEX(Database!$H$6:$H$197, MATCH($B166&amp;"% GDP", Database!$AD$6:$AD$197, 0)), "")</f>
        <v>2.1682211845111836</v>
      </c>
      <c r="Q166" s="836">
        <f>IF(ISNUMBER(INDEX(Database!$J$6:$J$197, MATCH($B166&amp;"% GDP", Database!$AD$6:$AD$197, 0))), INDEX(Database!$J$6:$J$197, MATCH($B166&amp;"% GDP", Database!$AD$6:$AD$197, 0)), "")</f>
        <v>1.2633729736521859</v>
      </c>
      <c r="R166" s="836" t="str">
        <f>IF(ISNUMBER(INDEX(Database!$L$6:$L$197, MATCH($B166&amp;"% GDP", Database!$AD$6:$AD$197, 0))), INDEX(Database!$L$6:$L$197, MATCH($B166&amp;"% GDP", Database!$AD$6:$AD$197, 0)), "")</f>
        <v/>
      </c>
      <c r="S166" s="836"/>
      <c r="T166" s="835">
        <f>IF(ISNUMBER(INDEX(Database!$P$6:$P$197, MATCH($B166&amp;"% GDP", Database!$AD$6:$AD$197, 0))), INDEX(Database!$P$6:$P$197, MATCH($B166&amp;"% GDP", Database!$AD$6:$AD$197, 0)), "")</f>
        <v>1.173741782953889</v>
      </c>
      <c r="U166" s="836" t="str">
        <f>IF(ISNUMBER(INDEX(Database!$Q$6:$Q$197, MATCH($B166&amp;"% GDP", Database!$AD$6:$AD$197, 0))), INDEX(Database!$Q$6:$Q$197, MATCH($B166&amp;"% GDP", Database!$AD$6:$AD$197, 0)), "")</f>
        <v/>
      </c>
      <c r="V166" s="836"/>
      <c r="W166" s="836">
        <f>IF(ISNUMBER(INDEX(Database!$U$6:$U$197, MATCH($B166&amp;"% GDP", Database!$AD$6:$AD$197, 0))), INDEX(Database!$U$6:$U$197, MATCH($B166&amp;"% GDP", Database!$AD$6:$AD$197, 0)), "")</f>
        <v>1.173741782953889</v>
      </c>
      <c r="X166" s="836">
        <f>IF(ISNUMBER(INDEX(Database!$W$6:$W$197, MATCH($B166&amp;"% GDP", Database!$AD$6:$AD$197, 0))), INDEX(Database!$W$6:$W$197, MATCH($B166&amp;"% GDP", Database!$AD$6:$AD$197, 0)), "")</f>
        <v>0</v>
      </c>
      <c r="AB166" s="562"/>
    </row>
    <row r="167" spans="2:28">
      <c r="B167" s="764" t="s">
        <v>552</v>
      </c>
      <c r="C167" s="840">
        <f>IF(ISNUMBER(INDEX(Database!$G$6:$G$197, MATCH($B167&amp;"USD bn", Database!$AD$6:$AD$197, 0))), INDEX(Database!$G$6:$G$197, MATCH($B167&amp;"USD bn", Database!$AD$6:$AD$197, 0)), "")</f>
        <v>2.5109136596508708</v>
      </c>
      <c r="D167" s="837">
        <f>IF(ISNUMBER(INDEX(Database!$H$6:$H$197, MATCH($B167&amp;"USD bn", Database!$AD$6:$AD$197, 0))), INDEX(Database!$H$6:$H$197, MATCH($B167&amp;"USD bn", Database!$AD$6:$AD$197, 0)), "")</f>
        <v>0.20575013296076938</v>
      </c>
      <c r="E167" s="837">
        <f>IF(ISNUMBER(INDEX(Database!$J$6:$J$197, MATCH($B167&amp;"USD bn", Database!$AD$6:$AD$197, 0))), INDEX(Database!$J$6:$J$197, MATCH($B167&amp;"USD bn", Database!$AD$6:$AD$197, 0)), "")</f>
        <v>2.3051635266901012</v>
      </c>
      <c r="F167" s="833">
        <f>IF(ISNUMBER(INDEX(Database!$L$6:$L$197, MATCH($B167&amp;"USD bn", Database!$AD$6:$AD$197, 0))), INDEX(Database!$L$6:$L$197, MATCH($B167&amp;"USD bn", Database!$AD$6:$AD$197, 0)), "")</f>
        <v>0.3143404809122865</v>
      </c>
      <c r="G167" s="837"/>
      <c r="H167" s="840" t="str">
        <f>IF(ISNUMBER(INDEX(Database!$P$6:$P$197, MATCH($B167&amp;"USD bn", Database!$AD$6:$AD$197, 0))), INDEX(Database!$P$6:$P$197, MATCH($B167&amp;"USD bn", Database!$AD$6:$AD$197, 0)), "")</f>
        <v/>
      </c>
      <c r="I167" s="837" t="str">
        <f>IF(ISNUMBER(INDEX(Database!$Q$6:$Q$197, MATCH($B167&amp;"USD bn", Database!$AD$6:$AD$197, 0))), INDEX(Database!$Q$6:$Q$197, MATCH($B167&amp;"USD bn", Database!$AD$6:$AD$197, 0)), "")</f>
        <v/>
      </c>
      <c r="J167" s="837"/>
      <c r="K167" s="837" t="str">
        <f>IF(ISNUMBER(INDEX(Database!$U$6:$U$197, MATCH($B167&amp;"USD bn", Database!$AD$6:$AD$197, 0))), INDEX(Database!$U$6:$U$197, MATCH($B167&amp;"USD bn", Database!$AD$6:$AD$197, 0)), "")</f>
        <v/>
      </c>
      <c r="L167" s="837" t="str">
        <f>IF(ISNUMBER(INDEX(Database!$W$6:$W$197, MATCH($B167&amp;"USD bn", Database!$AD$6:$AD$197, 0))), INDEX(Database!$W$6:$W$197, MATCH($B167&amp;"USD bn", Database!$AD$6:$AD$197, 0)), "")</f>
        <v/>
      </c>
      <c r="M167" s="817"/>
      <c r="N167" s="817"/>
      <c r="O167" s="835">
        <f>IF(ISNUMBER(INDEX(Database!$G$6:$G$197, MATCH($B167&amp;"% GDP", Database!$AD$6:$AD$197, 0))), INDEX(Database!$G$6:$G$197, MATCH($B167&amp;"% GDP", Database!$AD$6:$AD$197, 0)), "")</f>
        <v>2.4514108377373729</v>
      </c>
      <c r="P167" s="836">
        <f>IF(ISNUMBER(INDEX(Database!$H$6:$H$197, MATCH($B167&amp;"% GDP", Database!$AD$6:$AD$197, 0))), INDEX(Database!$H$6:$H$197, MATCH($B167&amp;"% GDP", Database!$AD$6:$AD$197, 0)), "")</f>
        <v>0.20087433268257682</v>
      </c>
      <c r="Q167" s="836">
        <f>IF(ISNUMBER(INDEX(Database!$J$6:$J$197, MATCH($B167&amp;"% GDP", Database!$AD$6:$AD$197, 0))), INDEX(Database!$J$6:$J$197, MATCH($B167&amp;"% GDP", Database!$AD$6:$AD$197, 0)), "")</f>
        <v>2.2505365050547956</v>
      </c>
      <c r="R167" s="836">
        <f>IF(ISNUMBER(INDEX(Database!$L$6:$L$197, MATCH($B167&amp;"% GDP", Database!$AD$6:$AD$197, 0))), INDEX(Database!$L$6:$L$197, MATCH($B167&amp;"% GDP", Database!$AD$6:$AD$197, 0)), "")</f>
        <v>0.30689134159838122</v>
      </c>
      <c r="S167" s="836"/>
      <c r="T167" s="835" t="str">
        <f>IF(ISNUMBER(INDEX(Database!$P$6:$P$197, MATCH($B167&amp;"% GDP", Database!$AD$6:$AD$197, 0))), INDEX(Database!$P$6:$P$197, MATCH($B167&amp;"% GDP", Database!$AD$6:$AD$197, 0)), "")</f>
        <v/>
      </c>
      <c r="U167" s="836" t="str">
        <f>IF(ISNUMBER(INDEX(Database!$Q$6:$Q$197, MATCH($B167&amp;"% GDP", Database!$AD$6:$AD$197, 0))), INDEX(Database!$Q$6:$Q$197, MATCH($B167&amp;"% GDP", Database!$AD$6:$AD$197, 0)), "")</f>
        <v/>
      </c>
      <c r="V167" s="836"/>
      <c r="W167" s="836" t="str">
        <f>IF(ISNUMBER(INDEX(Database!$U$6:$U$197, MATCH($B167&amp;"% GDP", Database!$AD$6:$AD$197, 0))), INDEX(Database!$U$6:$U$197, MATCH($B167&amp;"% GDP", Database!$AD$6:$AD$197, 0)), "")</f>
        <v/>
      </c>
      <c r="X167" s="836" t="str">
        <f>IF(ISNUMBER(INDEX(Database!$W$6:$W$197, MATCH($B167&amp;"% GDP", Database!$AD$6:$AD$197, 0))), INDEX(Database!$W$6:$W$197, MATCH($B167&amp;"% GDP", Database!$AD$6:$AD$197, 0)), "")</f>
        <v/>
      </c>
      <c r="AB167" s="562"/>
    </row>
    <row r="168" spans="2:28">
      <c r="B168" s="764" t="s">
        <v>1104</v>
      </c>
      <c r="C168" s="839">
        <v>1.962747158616112E-2</v>
      </c>
      <c r="D168" s="833">
        <v>6.5424905287203737E-3</v>
      </c>
      <c r="E168" s="833">
        <v>1.3084981057440746E-2</v>
      </c>
      <c r="F168" s="833" t="s">
        <v>452</v>
      </c>
      <c r="G168" s="837"/>
      <c r="H168" s="839" t="s">
        <v>452</v>
      </c>
      <c r="I168" s="833" t="s">
        <v>452</v>
      </c>
      <c r="J168" s="837"/>
      <c r="K168" s="833" t="s">
        <v>452</v>
      </c>
      <c r="L168" s="833" t="s">
        <v>452</v>
      </c>
      <c r="M168" s="817"/>
      <c r="N168" s="817"/>
      <c r="O168" s="839">
        <v>10.632960046420145</v>
      </c>
      <c r="P168" s="833">
        <v>3.5443200154733816</v>
      </c>
      <c r="Q168" s="833">
        <v>7.0886400309467623</v>
      </c>
      <c r="R168" s="833" t="s">
        <v>452</v>
      </c>
      <c r="S168" s="832"/>
      <c r="T168" s="839" t="s">
        <v>452</v>
      </c>
      <c r="U168" s="833" t="s">
        <v>452</v>
      </c>
      <c r="V168" s="837"/>
      <c r="W168" s="833" t="s">
        <v>452</v>
      </c>
      <c r="X168" s="833" t="s">
        <v>452</v>
      </c>
      <c r="AB168" s="717"/>
    </row>
    <row r="169" spans="2:28">
      <c r="B169" s="764" t="s">
        <v>1105</v>
      </c>
      <c r="C169" s="839">
        <v>0.31807473534169084</v>
      </c>
      <c r="D169" s="833">
        <v>2.7074735341690831E-2</v>
      </c>
      <c r="E169" s="833">
        <v>0.29100000000000004</v>
      </c>
      <c r="F169" s="833" t="s">
        <v>452</v>
      </c>
      <c r="G169" s="837"/>
      <c r="H169" s="839">
        <v>0.13339999999999999</v>
      </c>
      <c r="I169" s="833">
        <v>0.13339999999999999</v>
      </c>
      <c r="J169" s="837"/>
      <c r="K169" s="833" t="s">
        <v>452</v>
      </c>
      <c r="L169" s="833" t="s">
        <v>452</v>
      </c>
      <c r="M169" s="817"/>
      <c r="N169" s="817"/>
      <c r="O169" s="839">
        <v>4.2</v>
      </c>
      <c r="P169" s="833">
        <v>0.36195419593312866</v>
      </c>
      <c r="Q169" s="833">
        <v>3.8380458040668715</v>
      </c>
      <c r="R169" s="833" t="s">
        <v>452</v>
      </c>
      <c r="S169" s="832"/>
      <c r="T169" s="839">
        <v>1.8</v>
      </c>
      <c r="U169" s="833">
        <v>1.8</v>
      </c>
      <c r="V169" s="837"/>
      <c r="W169" s="833" t="s">
        <v>452</v>
      </c>
      <c r="X169" s="833" t="s">
        <v>452</v>
      </c>
      <c r="AB169" s="717"/>
    </row>
    <row r="170" spans="2:28">
      <c r="B170" s="764" t="s">
        <v>1106</v>
      </c>
      <c r="C170" s="839">
        <v>3.1625194900115668E-3</v>
      </c>
      <c r="D170" s="833">
        <v>3.1625194900115668E-3</v>
      </c>
      <c r="E170" s="833">
        <v>0</v>
      </c>
      <c r="F170" s="833" t="s">
        <v>452</v>
      </c>
      <c r="G170" s="837"/>
      <c r="H170" s="839" t="s">
        <v>452</v>
      </c>
      <c r="I170" s="833" t="s">
        <v>452</v>
      </c>
      <c r="J170" s="837"/>
      <c r="K170" s="833" t="s">
        <v>452</v>
      </c>
      <c r="L170" s="833" t="s">
        <v>452</v>
      </c>
      <c r="M170" s="817"/>
      <c r="N170" s="817"/>
      <c r="O170" s="839">
        <v>1.6683666309876898E-2</v>
      </c>
      <c r="P170" s="833">
        <v>1.6683666309876898E-2</v>
      </c>
      <c r="Q170" s="833">
        <v>0</v>
      </c>
      <c r="R170" s="833" t="s">
        <v>452</v>
      </c>
      <c r="S170" s="832"/>
      <c r="T170" s="839" t="s">
        <v>452</v>
      </c>
      <c r="U170" s="833" t="s">
        <v>452</v>
      </c>
      <c r="V170" s="837"/>
      <c r="W170" s="833" t="s">
        <v>452</v>
      </c>
      <c r="X170" s="833" t="s">
        <v>452</v>
      </c>
      <c r="AB170" s="717"/>
    </row>
    <row r="171" spans="2:28">
      <c r="B171" s="764" t="s">
        <v>1107</v>
      </c>
      <c r="C171" s="839">
        <v>0.19429619131962464</v>
      </c>
      <c r="D171" s="833">
        <v>3.7779814978815898E-2</v>
      </c>
      <c r="E171" s="833">
        <v>0.15651637634080875</v>
      </c>
      <c r="F171" s="833" t="s">
        <v>452</v>
      </c>
      <c r="G171" s="837"/>
      <c r="H171" s="839">
        <v>2.428702391495308E-2</v>
      </c>
      <c r="I171" s="833" t="s">
        <v>452</v>
      </c>
      <c r="J171" s="837"/>
      <c r="K171" s="833">
        <v>2.428702391495308E-2</v>
      </c>
      <c r="L171" s="833" t="s">
        <v>452</v>
      </c>
      <c r="M171" s="817"/>
      <c r="N171" s="817"/>
      <c r="O171" s="839">
        <v>10.195750773987438</v>
      </c>
      <c r="P171" s="833">
        <v>1.9825070949420014</v>
      </c>
      <c r="Q171" s="833">
        <v>8.2132436790454353</v>
      </c>
      <c r="R171" s="833" t="s">
        <v>452</v>
      </c>
      <c r="S171" s="832"/>
      <c r="T171" s="839">
        <v>1.2744688467484298</v>
      </c>
      <c r="U171" s="833" t="s">
        <v>452</v>
      </c>
      <c r="V171" s="837"/>
      <c r="W171" s="833">
        <v>1.2744688467484298</v>
      </c>
      <c r="X171" s="833" t="s">
        <v>452</v>
      </c>
      <c r="AB171" s="717"/>
    </row>
    <row r="172" spans="2:28">
      <c r="B172" s="764" t="s">
        <v>1108</v>
      </c>
      <c r="C172" s="839">
        <v>8.6999999999999994E-2</v>
      </c>
      <c r="D172" s="833">
        <v>1.9E-2</v>
      </c>
      <c r="E172" s="833">
        <v>6.7999999999999991E-2</v>
      </c>
      <c r="F172" s="833" t="s">
        <v>452</v>
      </c>
      <c r="G172" s="837"/>
      <c r="H172" s="839">
        <v>1.7000000000000001E-2</v>
      </c>
      <c r="I172" s="833">
        <v>1.7000000000000001E-2</v>
      </c>
      <c r="J172" s="837"/>
      <c r="K172" s="833" t="s">
        <v>452</v>
      </c>
      <c r="L172" s="833" t="s">
        <v>452</v>
      </c>
      <c r="M172" s="817"/>
      <c r="N172" s="817"/>
      <c r="O172" s="839">
        <v>2.96</v>
      </c>
      <c r="P172" s="833">
        <v>0.66</v>
      </c>
      <c r="Q172" s="833">
        <v>2.2999999999999998</v>
      </c>
      <c r="R172" s="833" t="s">
        <v>452</v>
      </c>
      <c r="S172" s="832"/>
      <c r="T172" s="839" t="s">
        <v>452</v>
      </c>
      <c r="U172" s="833" t="s">
        <v>452</v>
      </c>
      <c r="V172" s="837"/>
      <c r="W172" s="833" t="s">
        <v>452</v>
      </c>
      <c r="X172" s="833" t="s">
        <v>452</v>
      </c>
      <c r="AB172" s="717"/>
    </row>
    <row r="173" spans="2:28">
      <c r="B173" s="764" t="s">
        <v>91</v>
      </c>
      <c r="C173" s="839">
        <v>0.21782264418533689</v>
      </c>
      <c r="D173" s="833">
        <v>0.11571827972346023</v>
      </c>
      <c r="E173" s="833">
        <v>0.10210436446187666</v>
      </c>
      <c r="F173" s="833" t="s">
        <v>452</v>
      </c>
      <c r="G173" s="837"/>
      <c r="H173" s="839" t="s">
        <v>452</v>
      </c>
      <c r="I173" s="833" t="s">
        <v>452</v>
      </c>
      <c r="J173" s="837"/>
      <c r="K173" s="833" t="s">
        <v>452</v>
      </c>
      <c r="L173" s="833" t="s">
        <v>452</v>
      </c>
      <c r="M173" s="817"/>
      <c r="N173" s="817"/>
      <c r="O173" s="839">
        <v>1.5119122176183941</v>
      </c>
      <c r="P173" s="833">
        <v>0.8032033656097719</v>
      </c>
      <c r="Q173" s="833">
        <v>0.70870885200862221</v>
      </c>
      <c r="R173" s="833" t="s">
        <v>452</v>
      </c>
      <c r="S173" s="832"/>
      <c r="T173" s="839" t="s">
        <v>452</v>
      </c>
      <c r="U173" s="833" t="s">
        <v>452</v>
      </c>
      <c r="V173" s="837"/>
      <c r="W173" s="833" t="s">
        <v>452</v>
      </c>
      <c r="X173" s="833" t="s">
        <v>452</v>
      </c>
      <c r="AB173" s="717"/>
    </row>
    <row r="174" spans="2:28">
      <c r="B174" s="764" t="s">
        <v>1109</v>
      </c>
      <c r="C174" s="839">
        <v>1.9960268272320839E-2</v>
      </c>
      <c r="D174" s="833">
        <v>1.9960268272320839E-2</v>
      </c>
      <c r="E174" s="833">
        <v>0</v>
      </c>
      <c r="F174" s="833" t="s">
        <v>452</v>
      </c>
      <c r="G174" s="837"/>
      <c r="H174" s="839" t="s">
        <v>452</v>
      </c>
      <c r="I174" s="833" t="s">
        <v>452</v>
      </c>
      <c r="J174" s="837"/>
      <c r="K174" s="833" t="s">
        <v>452</v>
      </c>
      <c r="L174" s="833" t="s">
        <v>452</v>
      </c>
      <c r="M174" s="817"/>
      <c r="N174" s="817"/>
      <c r="O174" s="839">
        <v>0.23960830364283697</v>
      </c>
      <c r="P174" s="833">
        <v>0.23960830364283697</v>
      </c>
      <c r="Q174" s="833">
        <v>0</v>
      </c>
      <c r="R174" s="833" t="s">
        <v>452</v>
      </c>
      <c r="S174" s="832"/>
      <c r="T174" s="839" t="s">
        <v>452</v>
      </c>
      <c r="U174" s="833" t="s">
        <v>452</v>
      </c>
      <c r="V174" s="837"/>
      <c r="W174" s="833" t="s">
        <v>452</v>
      </c>
      <c r="X174" s="833" t="s">
        <v>452</v>
      </c>
      <c r="AB174" s="717"/>
    </row>
    <row r="175" spans="2:28">
      <c r="B175" s="764" t="s">
        <v>1110</v>
      </c>
      <c r="C175" s="839">
        <v>0.85460311034175185</v>
      </c>
      <c r="D175" s="833">
        <v>8.5460311034175188E-2</v>
      </c>
      <c r="E175" s="833">
        <v>0.76914279930757667</v>
      </c>
      <c r="F175" s="833">
        <v>0.11109840434442775</v>
      </c>
      <c r="G175" s="837"/>
      <c r="H175" s="839">
        <v>3.4184124413670074E-2</v>
      </c>
      <c r="I175" s="833" t="s">
        <v>452</v>
      </c>
      <c r="J175" s="837"/>
      <c r="K175" s="833">
        <v>3.4184124413670074E-2</v>
      </c>
      <c r="L175" s="833" t="s">
        <v>452</v>
      </c>
      <c r="M175" s="817"/>
      <c r="N175" s="817"/>
      <c r="O175" s="839">
        <v>4.8569561405360044</v>
      </c>
      <c r="P175" s="833">
        <v>0.4856956140536004</v>
      </c>
      <c r="Q175" s="833">
        <v>4.3712605264824029</v>
      </c>
      <c r="R175" s="833">
        <v>0.63140429826968048</v>
      </c>
      <c r="S175" s="832"/>
      <c r="T175" s="839">
        <v>0.19427824562144017</v>
      </c>
      <c r="U175" s="833" t="s">
        <v>452</v>
      </c>
      <c r="V175" s="837"/>
      <c r="W175" s="833">
        <v>0.19427824562144017</v>
      </c>
      <c r="X175" s="833" t="s">
        <v>452</v>
      </c>
      <c r="AB175" s="717"/>
    </row>
    <row r="176" spans="2:28">
      <c r="B176" s="764" t="s">
        <v>1111</v>
      </c>
      <c r="C176" s="839">
        <v>0.43293252072695382</v>
      </c>
      <c r="D176" s="833">
        <v>3.1296326799538823E-2</v>
      </c>
      <c r="E176" s="833">
        <v>0.40163619392741501</v>
      </c>
      <c r="F176" s="833" t="s">
        <v>452</v>
      </c>
      <c r="G176" s="837"/>
      <c r="H176" s="839" t="s">
        <v>452</v>
      </c>
      <c r="I176" s="833" t="s">
        <v>452</v>
      </c>
      <c r="J176" s="837"/>
      <c r="K176" s="833" t="s">
        <v>452</v>
      </c>
      <c r="L176" s="833" t="s">
        <v>452</v>
      </c>
      <c r="M176" s="817"/>
      <c r="N176" s="817"/>
      <c r="O176" s="839">
        <v>5.8285560646359391</v>
      </c>
      <c r="P176" s="833">
        <v>0.42134140226283889</v>
      </c>
      <c r="Q176" s="833">
        <v>5.407214662373101</v>
      </c>
      <c r="R176" s="833" t="s">
        <v>452</v>
      </c>
      <c r="S176" s="832"/>
      <c r="T176" s="839" t="s">
        <v>452</v>
      </c>
      <c r="U176" s="833" t="s">
        <v>452</v>
      </c>
      <c r="V176" s="837"/>
      <c r="W176" s="833" t="s">
        <v>452</v>
      </c>
      <c r="X176" s="833" t="s">
        <v>452</v>
      </c>
      <c r="AB176" s="717"/>
    </row>
    <row r="177" spans="2:28">
      <c r="B177" s="764" t="s">
        <v>1112</v>
      </c>
      <c r="C177" s="839">
        <v>0.25004228280000002</v>
      </c>
      <c r="D177" s="833">
        <v>0.12940635810000001</v>
      </c>
      <c r="E177" s="833">
        <v>0.12063592470000001</v>
      </c>
      <c r="F177" s="833" t="s">
        <v>452</v>
      </c>
      <c r="G177" s="837"/>
      <c r="H177" s="839">
        <v>3.6931601000000001E-2</v>
      </c>
      <c r="I177" s="833">
        <v>3.4191868E-2</v>
      </c>
      <c r="J177" s="837"/>
      <c r="K177" s="833">
        <v>2.7397329999999998E-3</v>
      </c>
      <c r="L177" s="833" t="s">
        <v>452</v>
      </c>
      <c r="M177" s="817"/>
      <c r="N177" s="817"/>
      <c r="O177" s="839">
        <v>2.2243652000000003</v>
      </c>
      <c r="P177" s="833">
        <v>1.1511933000000001</v>
      </c>
      <c r="Q177" s="833">
        <v>1.0731719000000002</v>
      </c>
      <c r="R177" s="833" t="s">
        <v>452</v>
      </c>
      <c r="S177" s="832"/>
      <c r="T177" s="839">
        <v>0.328551914</v>
      </c>
      <c r="U177" s="833">
        <v>0.30417936800000001</v>
      </c>
      <c r="V177" s="837"/>
      <c r="W177" s="833">
        <v>2.4372545999999998E-2</v>
      </c>
      <c r="X177" s="833" t="s">
        <v>452</v>
      </c>
      <c r="AB177" s="717"/>
    </row>
    <row r="178" spans="2:28">
      <c r="B178" s="764" t="s">
        <v>1113</v>
      </c>
      <c r="C178" s="839">
        <v>0.70546335133890226</v>
      </c>
      <c r="D178" s="833">
        <v>0.12001658674230285</v>
      </c>
      <c r="E178" s="833">
        <v>0.58544676459659928</v>
      </c>
      <c r="F178" s="833">
        <v>0.12733467129976034</v>
      </c>
      <c r="G178" s="837"/>
      <c r="H178" s="839" t="s">
        <v>452</v>
      </c>
      <c r="I178" s="833" t="s">
        <v>452</v>
      </c>
      <c r="J178" s="837"/>
      <c r="K178" s="833" t="s">
        <v>452</v>
      </c>
      <c r="L178" s="833" t="s">
        <v>452</v>
      </c>
      <c r="M178" s="817"/>
      <c r="N178" s="817"/>
      <c r="O178" s="839">
        <v>4.8284198246879306</v>
      </c>
      <c r="P178" s="833">
        <v>0.82143241830790503</v>
      </c>
      <c r="Q178" s="833">
        <v>4.0069874063800253</v>
      </c>
      <c r="R178" s="833">
        <v>0.87151976088765548</v>
      </c>
      <c r="S178" s="832"/>
      <c r="T178" s="839" t="s">
        <v>452</v>
      </c>
      <c r="U178" s="833" t="s">
        <v>452</v>
      </c>
      <c r="V178" s="837"/>
      <c r="W178" s="833" t="s">
        <v>452</v>
      </c>
      <c r="X178" s="833" t="s">
        <v>452</v>
      </c>
      <c r="AB178" s="717"/>
    </row>
    <row r="179" spans="2:28">
      <c r="B179" s="764" t="s">
        <v>912</v>
      </c>
      <c r="C179" s="840">
        <f>IF(ISNUMBER(INDEX(Database!$G$6:$G$197, MATCH($B179&amp;"USD bn", Database!$AD$6:$AD$197, 0))), INDEX(Database!$G$6:$G$197, MATCH($B179&amp;"USD bn", Database!$AD$6:$AD$197, 0)), "")</f>
        <v>0.58733903180831615</v>
      </c>
      <c r="D179" s="837">
        <f>IF(ISNUMBER(INDEX(Database!$H$6:$H$197, MATCH($B179&amp;"USD bn", Database!$AD$6:$AD$197, 0))), INDEX(Database!$H$6:$H$197, MATCH($B179&amp;"USD bn", Database!$AD$6:$AD$197, 0)), "")</f>
        <v>0.13059822221699338</v>
      </c>
      <c r="E179" s="837">
        <f>IF(ISNUMBER(INDEX(Database!$J$6:$J$197, MATCH($B179&amp;"USD bn", Database!$AD$6:$AD$197, 0))), INDEX(Database!$J$6:$J$197, MATCH($B179&amp;"USD bn", Database!$AD$6:$AD$197, 0)), "")</f>
        <v>0.45674080959132279</v>
      </c>
      <c r="F179" s="833" t="str">
        <f>IF(ISNUMBER(INDEX(Database!$L$6:$L$197, MATCH($B179&amp;"USD bn", Database!$AD$6:$AD$197, 0))), INDEX(Database!$L$6:$L$197, MATCH($B179&amp;"USD bn", Database!$AD$6:$AD$197, 0)), "")</f>
        <v/>
      </c>
      <c r="G179" s="837"/>
      <c r="H179" s="840">
        <f>IF(ISNUMBER(INDEX(Database!$P$6:$P$197, MATCH($B179&amp;"USD bn", Database!$AD$6:$AD$197, 0))), INDEX(Database!$P$6:$P$197, MATCH($B179&amp;"USD bn", Database!$AD$6:$AD$197, 0)), "")</f>
        <v>0.21178090089242169</v>
      </c>
      <c r="I179" s="837">
        <f>IF(ISNUMBER(INDEX(Database!$Q$6:$Q$197, MATCH($B179&amp;"USD bn", Database!$AD$6:$AD$197, 0))), INDEX(Database!$Q$6:$Q$197, MATCH($B179&amp;"USD bn", Database!$AD$6:$AD$197, 0)), "")</f>
        <v>0.21178090089242169</v>
      </c>
      <c r="J179" s="837"/>
      <c r="K179" s="837" t="str">
        <f>IF(ISNUMBER(INDEX(Database!$U$6:$U$197, MATCH($B179&amp;"USD bn", Database!$AD$6:$AD$197, 0))), INDEX(Database!$U$6:$U$197, MATCH($B179&amp;"USD bn", Database!$AD$6:$AD$197, 0)), "")</f>
        <v/>
      </c>
      <c r="L179" s="837" t="str">
        <f>IF(ISNUMBER(INDEX(Database!$W$6:$W$197, MATCH($B179&amp;"USD bn", Database!$AD$6:$AD$197, 0))), INDEX(Database!$W$6:$W$197, MATCH($B179&amp;"USD bn", Database!$AD$6:$AD$197, 0)), "")</f>
        <v/>
      </c>
      <c r="M179" s="817"/>
      <c r="N179" s="817"/>
      <c r="O179" s="835">
        <f>IF(ISNUMBER(INDEX(Database!$G$6:$G$197, MATCH($B179&amp;"% GDP", Database!$AD$6:$AD$197, 0))), INDEX(Database!$G$6:$G$197, MATCH($B179&amp;"% GDP", Database!$AD$6:$AD$197, 0)), "")</f>
        <v>0.72281351560912455</v>
      </c>
      <c r="P179" s="836">
        <f>IF(ISNUMBER(INDEX(Database!$H$6:$H$197, MATCH($B179&amp;"% GDP", Database!$AD$6:$AD$197, 0))), INDEX(Database!$H$6:$H$197, MATCH($B179&amp;"% GDP", Database!$AD$6:$AD$197, 0)), "")</f>
        <v>0.16072175527366353</v>
      </c>
      <c r="Q179" s="836">
        <f>IF(ISNUMBER(INDEX(Database!$J$6:$J$197, MATCH($B179&amp;"% GDP", Database!$AD$6:$AD$197, 0))), INDEX(Database!$J$6:$J$197, MATCH($B179&amp;"% GDP", Database!$AD$6:$AD$197, 0)), "")</f>
        <v>0.56209176033546104</v>
      </c>
      <c r="R179" s="836" t="str">
        <f>IF(ISNUMBER(INDEX(Database!$L$6:$L$197, MATCH($B179&amp;"% GDP", Database!$AD$6:$AD$197, 0))), INDEX(Database!$L$6:$L$197, MATCH($B179&amp;"% GDP", Database!$AD$6:$AD$197, 0)), "")</f>
        <v/>
      </c>
      <c r="S179" s="836"/>
      <c r="T179" s="835">
        <f>IF(ISNUMBER(INDEX(Database!$P$6:$P$197, MATCH($B179&amp;"% GDP", Database!$AD$6:$AD$197, 0))), INDEX(Database!$P$6:$P$197, MATCH($B179&amp;"% GDP", Database!$AD$6:$AD$197, 0)), "")</f>
        <v>0.26062987341675165</v>
      </c>
      <c r="U179" s="836">
        <f>IF(ISNUMBER(INDEX(Database!$Q$6:$Q$197, MATCH($B179&amp;"% GDP", Database!$AD$6:$AD$197, 0))), INDEX(Database!$Q$6:$Q$197, MATCH($B179&amp;"% GDP", Database!$AD$6:$AD$197, 0)), "")</f>
        <v>0.26062987341675165</v>
      </c>
      <c r="V179" s="836"/>
      <c r="W179" s="836" t="str">
        <f>IF(ISNUMBER(INDEX(Database!$U$6:$U$197, MATCH($B179&amp;"% GDP", Database!$AD$6:$AD$197, 0))), INDEX(Database!$U$6:$U$197, MATCH($B179&amp;"% GDP", Database!$AD$6:$AD$197, 0)), "")</f>
        <v/>
      </c>
      <c r="X179" s="836" t="str">
        <f>IF(ISNUMBER(INDEX(Database!$W$6:$W$197, MATCH($B179&amp;"% GDP", Database!$AD$6:$AD$197, 0))), INDEX(Database!$W$6:$W$197, MATCH($B179&amp;"% GDP", Database!$AD$6:$AD$197, 0)), "")</f>
        <v/>
      </c>
      <c r="AB179" s="717"/>
    </row>
    <row r="180" spans="2:28">
      <c r="B180" s="764" t="s">
        <v>914</v>
      </c>
      <c r="C180" s="840" t="str">
        <f>IF(ISNUMBER(INDEX(Database!$G$6:$G$197, MATCH($B180&amp;"USD bn", Database!$AD$6:$AD$197, 0))), INDEX(Database!$G$6:$G$197, MATCH($B180&amp;"USD bn", Database!$AD$6:$AD$197, 0)), "")</f>
        <v/>
      </c>
      <c r="D180" s="837" t="str">
        <f>IF(ISNUMBER(INDEX(Database!$H$6:$H$197, MATCH($B180&amp;"USD bn", Database!$AD$6:$AD$197, 0))), INDEX(Database!$H$6:$H$197, MATCH($B180&amp;"USD bn", Database!$AD$6:$AD$197, 0)), "")</f>
        <v/>
      </c>
      <c r="E180" s="837" t="str">
        <f>IF(ISNUMBER(INDEX(Database!$J$6:$J$197, MATCH($B180&amp;"USD bn", Database!$AD$6:$AD$197, 0))), INDEX(Database!$J$6:$J$197, MATCH($B180&amp;"USD bn", Database!$AD$6:$AD$197, 0)), "")</f>
        <v/>
      </c>
      <c r="F180" s="833" t="str">
        <f>IF(ISNUMBER(INDEX(Database!$L$6:$L$197, MATCH($B180&amp;"USD bn", Database!$AD$6:$AD$197, 0))), INDEX(Database!$L$6:$L$197, MATCH($B180&amp;"USD bn", Database!$AD$6:$AD$197, 0)), "")</f>
        <v/>
      </c>
      <c r="G180" s="837"/>
      <c r="H180" s="840" t="str">
        <f>IF(ISNUMBER(INDEX(Database!$P$6:$P$197, MATCH($B180&amp;"USD bn", Database!$AD$6:$AD$197, 0))), INDEX(Database!$P$6:$P$197, MATCH($B180&amp;"USD bn", Database!$AD$6:$AD$197, 0)), "")</f>
        <v/>
      </c>
      <c r="I180" s="837" t="str">
        <f>IF(ISNUMBER(INDEX(Database!$Q$6:$Q$197, MATCH($B180&amp;"USD bn", Database!$AD$6:$AD$197, 0))), INDEX(Database!$Q$6:$Q$197, MATCH($B180&amp;"USD bn", Database!$AD$6:$AD$197, 0)), "")</f>
        <v/>
      </c>
      <c r="J180" s="837"/>
      <c r="K180" s="837" t="str">
        <f>IF(ISNUMBER(INDEX(Database!$U$6:$U$197, MATCH($B180&amp;"USD bn", Database!$AD$6:$AD$197, 0))), INDEX(Database!$U$6:$U$197, MATCH($B180&amp;"USD bn", Database!$AD$6:$AD$197, 0)), "")</f>
        <v/>
      </c>
      <c r="L180" s="837" t="str">
        <f>IF(ISNUMBER(INDEX(Database!$W$6:$W$197, MATCH($B180&amp;"USD bn", Database!$AD$6:$AD$197, 0))), INDEX(Database!$W$6:$W$197, MATCH($B180&amp;"USD bn", Database!$AD$6:$AD$197, 0)), "")</f>
        <v/>
      </c>
      <c r="M180" s="817"/>
      <c r="N180" s="817"/>
      <c r="O180" s="835" t="str">
        <f>IF(ISNUMBER(INDEX(Database!$G$6:$G$197, MATCH($B180&amp;"% GDP", Database!$AD$6:$AD$197, 0))), INDEX(Database!$G$6:$G$197, MATCH($B180&amp;"% GDP", Database!$AD$6:$AD$197, 0)), "")</f>
        <v/>
      </c>
      <c r="P180" s="836" t="str">
        <f>IF(ISNUMBER(INDEX(Database!$H$6:$H$197, MATCH($B180&amp;"% GDP", Database!$AD$6:$AD$197, 0))), INDEX(Database!$H$6:$H$197, MATCH($B180&amp;"% GDP", Database!$AD$6:$AD$197, 0)), "")</f>
        <v/>
      </c>
      <c r="Q180" s="836" t="str">
        <f>IF(ISNUMBER(INDEX(Database!$J$6:$J$197, MATCH($B180&amp;"% GDP", Database!$AD$6:$AD$197, 0))), INDEX(Database!$J$6:$J$197, MATCH($B180&amp;"% GDP", Database!$AD$6:$AD$197, 0)), "")</f>
        <v/>
      </c>
      <c r="R180" s="836" t="str">
        <f>IF(ISNUMBER(INDEX(Database!$L$6:$L$197, MATCH($B180&amp;"% GDP", Database!$AD$6:$AD$197, 0))), INDEX(Database!$L$6:$L$197, MATCH($B180&amp;"% GDP", Database!$AD$6:$AD$197, 0)), "")</f>
        <v/>
      </c>
      <c r="S180" s="836"/>
      <c r="T180" s="835" t="str">
        <f>IF(ISNUMBER(INDEX(Database!$P$6:$P$197, MATCH($B180&amp;"% GDP", Database!$AD$6:$AD$197, 0))), INDEX(Database!$P$6:$P$197, MATCH($B180&amp;"% GDP", Database!$AD$6:$AD$197, 0)), "")</f>
        <v/>
      </c>
      <c r="U180" s="836" t="str">
        <f>IF(ISNUMBER(INDEX(Database!$Q$6:$Q$197, MATCH($B180&amp;"% GDP", Database!$AD$6:$AD$197, 0))), INDEX(Database!$Q$6:$Q$197, MATCH($B180&amp;"% GDP", Database!$AD$6:$AD$197, 0)), "")</f>
        <v/>
      </c>
      <c r="V180" s="836"/>
      <c r="W180" s="836" t="str">
        <f>IF(ISNUMBER(INDEX(Database!$U$6:$U$197, MATCH($B180&amp;"% GDP", Database!$AD$6:$AD$197, 0))), INDEX(Database!$U$6:$U$197, MATCH($B180&amp;"% GDP", Database!$AD$6:$AD$197, 0)), "")</f>
        <v/>
      </c>
      <c r="X180" s="836" t="str">
        <f>IF(ISNUMBER(INDEX(Database!$W$6:$W$197, MATCH($B180&amp;"% GDP", Database!$AD$6:$AD$197, 0))), INDEX(Database!$W$6:$W$197, MATCH($B180&amp;"% GDP", Database!$AD$6:$AD$197, 0)), "")</f>
        <v/>
      </c>
      <c r="AB180" s="717"/>
    </row>
    <row r="181" spans="2:28">
      <c r="B181" s="764" t="s">
        <v>1114</v>
      </c>
      <c r="C181" s="839">
        <v>0.14878164616335718</v>
      </c>
      <c r="D181" s="833">
        <v>6.4345878281999863E-2</v>
      </c>
      <c r="E181" s="833">
        <v>8.4435767881357301E-2</v>
      </c>
      <c r="F181" s="833" t="s">
        <v>452</v>
      </c>
      <c r="G181" s="837"/>
      <c r="H181" s="839" t="s">
        <v>452</v>
      </c>
      <c r="I181" s="833" t="s">
        <v>452</v>
      </c>
      <c r="J181" s="837"/>
      <c r="K181" s="833" t="s">
        <v>452</v>
      </c>
      <c r="L181" s="833" t="s">
        <v>452</v>
      </c>
      <c r="M181" s="817"/>
      <c r="N181" s="817"/>
      <c r="O181" s="839">
        <v>1.2717118504072016</v>
      </c>
      <c r="P181" s="833">
        <v>0.54999671025438657</v>
      </c>
      <c r="Q181" s="833">
        <v>0.72171514015281513</v>
      </c>
      <c r="R181" s="833" t="s">
        <v>452</v>
      </c>
      <c r="S181" s="832"/>
      <c r="T181" s="839" t="s">
        <v>452</v>
      </c>
      <c r="U181" s="833" t="s">
        <v>452</v>
      </c>
      <c r="V181" s="837"/>
      <c r="W181" s="833" t="s">
        <v>452</v>
      </c>
      <c r="X181" s="833" t="s">
        <v>452</v>
      </c>
      <c r="AB181" s="717"/>
    </row>
    <row r="182" spans="2:28">
      <c r="B182" s="764" t="s">
        <v>915</v>
      </c>
      <c r="C182" s="840">
        <f>IF(ISNUMBER(INDEX(Database!$G$6:$G$197, MATCH($B182&amp;"USD bn", Database!$AD$6:$AD$197, 0))), INDEX(Database!$G$6:$G$197, MATCH($B182&amp;"USD bn", Database!$AD$6:$AD$197, 0)), "")</f>
        <v>0.10176470509427343</v>
      </c>
      <c r="D182" s="837">
        <f>IF(ISNUMBER(INDEX(Database!$H$6:$H$197, MATCH($B182&amp;"USD bn", Database!$AD$6:$AD$197, 0))), INDEX(Database!$H$6:$H$197, MATCH($B182&amp;"USD bn", Database!$AD$6:$AD$197, 0)), "")</f>
        <v>4.4801524297786645E-2</v>
      </c>
      <c r="E182" s="837">
        <f>IF(ISNUMBER(INDEX(Database!$J$6:$J$197, MATCH($B182&amp;"USD bn", Database!$AD$6:$AD$197, 0))), INDEX(Database!$J$6:$J$197, MATCH($B182&amp;"USD bn", Database!$AD$6:$AD$197, 0)), "")</f>
        <v>5.6963180796486788E-2</v>
      </c>
      <c r="F182" s="833" t="str">
        <f>IF(ISNUMBER(INDEX(Database!$L$6:$L$197, MATCH($B182&amp;"USD bn", Database!$AD$6:$AD$197, 0))), INDEX(Database!$L$6:$L$197, MATCH($B182&amp;"USD bn", Database!$AD$6:$AD$197, 0)), "")</f>
        <v/>
      </c>
      <c r="G182" s="837"/>
      <c r="H182" s="840">
        <f>IF(ISNUMBER(INDEX(Database!$P$6:$P$197, MATCH($B182&amp;"USD bn", Database!$AD$6:$AD$197, 0))), INDEX(Database!$P$6:$P$197, MATCH($B182&amp;"USD bn", Database!$AD$6:$AD$197, 0)), "")</f>
        <v>0.17398650212732678</v>
      </c>
      <c r="I182" s="837">
        <f>IF(ISNUMBER(INDEX(Database!$Q$6:$Q$197, MATCH($B182&amp;"USD bn", Database!$AD$6:$AD$197, 0))), INDEX(Database!$Q$6:$Q$197, MATCH($B182&amp;"USD bn", Database!$AD$6:$AD$197, 0)), "")</f>
        <v>8.6993251063663388E-2</v>
      </c>
      <c r="J182" s="837"/>
      <c r="K182" s="837">
        <f>IF(ISNUMBER(INDEX(Database!$U$6:$U$197, MATCH($B182&amp;"USD bn", Database!$AD$6:$AD$197, 0))), INDEX(Database!$U$6:$U$197, MATCH($B182&amp;"USD bn", Database!$AD$6:$AD$197, 0)), "")</f>
        <v>8.6993251063663388E-2</v>
      </c>
      <c r="L182" s="837" t="str">
        <f>IF(ISNUMBER(INDEX(Database!$W$6:$W$197, MATCH($B182&amp;"USD bn", Database!$AD$6:$AD$197, 0))), INDEX(Database!$W$6:$W$197, MATCH($B182&amp;"USD bn", Database!$AD$6:$AD$197, 0)), "")</f>
        <v/>
      </c>
      <c r="M182" s="817"/>
      <c r="N182" s="817"/>
      <c r="O182" s="835">
        <f>IF(ISNUMBER(INDEX(Database!$G$6:$G$197, MATCH($B182&amp;"% GDP", Database!$AD$6:$AD$197, 0))), INDEX(Database!$G$6:$G$197, MATCH($B182&amp;"% GDP", Database!$AD$6:$AD$197, 0)), "")</f>
        <v>0.73950497267868009</v>
      </c>
      <c r="P182" s="836">
        <f>IF(ISNUMBER(INDEX(Database!$H$6:$H$197, MATCH($B182&amp;"% GDP", Database!$AD$6:$AD$197, 0))), INDEX(Database!$H$6:$H$197, MATCH($B182&amp;"% GDP", Database!$AD$6:$AD$197, 0)), "")</f>
        <v>0.32556425109379405</v>
      </c>
      <c r="Q182" s="836">
        <f>IF(ISNUMBER(INDEX(Database!$J$6:$J$197, MATCH($B182&amp;"% GDP", Database!$AD$6:$AD$197, 0))), INDEX(Database!$J$6:$J$197, MATCH($B182&amp;"% GDP", Database!$AD$6:$AD$197, 0)), "")</f>
        <v>0.4139407215848861</v>
      </c>
      <c r="R182" s="836" t="str">
        <f>IF(ISNUMBER(INDEX(Database!$L$6:$L$197, MATCH($B182&amp;"% GDP", Database!$AD$6:$AD$197, 0))), INDEX(Database!$L$6:$L$197, MATCH($B182&amp;"% GDP", Database!$AD$6:$AD$197, 0)), "")</f>
        <v/>
      </c>
      <c r="S182" s="836"/>
      <c r="T182" s="835">
        <f>IF(ISNUMBER(INDEX(Database!$P$6:$P$197, MATCH($B182&amp;"% GDP", Database!$AD$6:$AD$197, 0))), INDEX(Database!$P$6:$P$197, MATCH($B182&amp;"% GDP", Database!$AD$6:$AD$197, 0)), "")</f>
        <v>1.2643271887137633</v>
      </c>
      <c r="U182" s="836">
        <f>IF(ISNUMBER(INDEX(Database!$Q$6:$Q$197, MATCH($B182&amp;"% GDP", Database!$AD$6:$AD$197, 0))), INDEX(Database!$Q$6:$Q$197, MATCH($B182&amp;"% GDP", Database!$AD$6:$AD$197, 0)), "")</f>
        <v>0.63216359435688163</v>
      </c>
      <c r="V182" s="836"/>
      <c r="W182" s="836">
        <f>IF(ISNUMBER(INDEX(Database!$U$6:$U$197, MATCH($B182&amp;"% GDP", Database!$AD$6:$AD$197, 0))), INDEX(Database!$U$6:$U$197, MATCH($B182&amp;"% GDP", Database!$AD$6:$AD$197, 0)), "")</f>
        <v>0.63216359435688163</v>
      </c>
      <c r="X182" s="836" t="str">
        <f>IF(ISNUMBER(INDEX(Database!$W$6:$W$197, MATCH($B182&amp;"% GDP", Database!$AD$6:$AD$197, 0))), INDEX(Database!$W$6:$W$197, MATCH($B182&amp;"% GDP", Database!$AD$6:$AD$197, 0)), "")</f>
        <v/>
      </c>
      <c r="AB182" s="764"/>
    </row>
    <row r="183" spans="2:28">
      <c r="B183" s="764" t="s">
        <v>29</v>
      </c>
      <c r="C183" s="840">
        <f>IF(ISNUMBER(INDEX(Database!$G$6:$G$197, MATCH($B183&amp;"USD bn", Database!$AD$6:$AD$197, 0))), INDEX(Database!$G$6:$G$197, MATCH($B183&amp;"USD bn", Database!$AD$6:$AD$197, 0)), "")</f>
        <v>10.381162278157996</v>
      </c>
      <c r="D183" s="837">
        <f>IF(ISNUMBER(INDEX(Database!$H$6:$H$197, MATCH($B183&amp;"USD bn", Database!$AD$6:$AD$197, 0))), INDEX(Database!$H$6:$H$197, MATCH($B183&amp;"USD bn", Database!$AD$6:$AD$197, 0)), "")</f>
        <v>6.6034102772300267</v>
      </c>
      <c r="E183" s="837">
        <f>IF(ISNUMBER(INDEX(Database!$J$6:$J$197, MATCH($B183&amp;"USD bn", Database!$AD$6:$AD$197, 0))), INDEX(Database!$J$6:$J$197, MATCH($B183&amp;"USD bn", Database!$AD$6:$AD$197, 0)), "")</f>
        <v>3.7777520009279706</v>
      </c>
      <c r="F183" s="833" t="str">
        <f>IF(ISNUMBER(INDEX(Database!$L$6:$L$197, MATCH($B183&amp;"USD bn", Database!$AD$6:$AD$197, 0))), INDEX(Database!$L$6:$L$197, MATCH($B183&amp;"USD bn", Database!$AD$6:$AD$197, 0)), "")</f>
        <v/>
      </c>
      <c r="G183" s="837"/>
      <c r="H183" s="840" t="str">
        <f>IF(ISNUMBER(INDEX(Database!$P$6:$P$197, MATCH($B183&amp;"USD bn", Database!$AD$6:$AD$197, 0))), INDEX(Database!$P$6:$P$197, MATCH($B183&amp;"USD bn", Database!$AD$6:$AD$197, 0)), "")</f>
        <v/>
      </c>
      <c r="I183" s="837" t="str">
        <f>IF(ISNUMBER(INDEX(Database!$Q$6:$Q$197, MATCH($B183&amp;"USD bn", Database!$AD$6:$AD$197, 0))), INDEX(Database!$Q$6:$Q$197, MATCH($B183&amp;"USD bn", Database!$AD$6:$AD$197, 0)), "")</f>
        <v/>
      </c>
      <c r="J183" s="837"/>
      <c r="K183" s="837" t="str">
        <f>IF(ISNUMBER(INDEX(Database!$U$6:$U$197, MATCH($B183&amp;"USD bn", Database!$AD$6:$AD$197, 0))), INDEX(Database!$U$6:$U$197, MATCH($B183&amp;"USD bn", Database!$AD$6:$AD$197, 0)), "")</f>
        <v/>
      </c>
      <c r="L183" s="837" t="str">
        <f>IF(ISNUMBER(INDEX(Database!$W$6:$W$197, MATCH($B183&amp;"USD bn", Database!$AD$6:$AD$197, 0))), INDEX(Database!$W$6:$W$197, MATCH($B183&amp;"USD bn", Database!$AD$6:$AD$197, 0)), "")</f>
        <v/>
      </c>
      <c r="M183" s="817"/>
      <c r="N183" s="817"/>
      <c r="O183" s="835">
        <f>IF(ISNUMBER(INDEX(Database!$G$6:$G$197, MATCH($B183&amp;"% GDP", Database!$AD$6:$AD$197, 0))), INDEX(Database!$G$6:$G$197, MATCH($B183&amp;"% GDP", Database!$AD$6:$AD$197, 0)), "")</f>
        <v>2.4174676981648453</v>
      </c>
      <c r="P183" s="836">
        <f>IF(ISNUMBER(INDEX(Database!$H$6:$H$197, MATCH($B183&amp;"% GDP", Database!$AD$6:$AD$197, 0))), INDEX(Database!$H$6:$H$197, MATCH($B183&amp;"% GDP", Database!$AD$6:$AD$197, 0)), "")</f>
        <v>1.5377402467275443</v>
      </c>
      <c r="Q183" s="836">
        <f>IF(ISNUMBER(INDEX(Database!$J$6:$J$197, MATCH($B183&amp;"% GDP", Database!$AD$6:$AD$197, 0))), INDEX(Database!$J$6:$J$197, MATCH($B183&amp;"% GDP", Database!$AD$6:$AD$197, 0)), "")</f>
        <v>0.8797274514373008</v>
      </c>
      <c r="R183" s="836" t="str">
        <f>IF(ISNUMBER(INDEX(Database!$L$6:$L$197, MATCH($B183&amp;"% GDP", Database!$AD$6:$AD$197, 0))), INDEX(Database!$L$6:$L$197, MATCH($B183&amp;"% GDP", Database!$AD$6:$AD$197, 0)), "")</f>
        <v/>
      </c>
      <c r="S183" s="836"/>
      <c r="T183" s="835" t="str">
        <f>IF(ISNUMBER(INDEX(Database!$P$6:$P$197, MATCH($B183&amp;"% GDP", Database!$AD$6:$AD$197, 0))), INDEX(Database!$P$6:$P$197, MATCH($B183&amp;"% GDP", Database!$AD$6:$AD$197, 0)), "")</f>
        <v/>
      </c>
      <c r="U183" s="836" t="str">
        <f>IF(ISNUMBER(INDEX(Database!$Q$6:$Q$197, MATCH($B183&amp;"% GDP", Database!$AD$6:$AD$197, 0))), INDEX(Database!$Q$6:$Q$197, MATCH($B183&amp;"% GDP", Database!$AD$6:$AD$197, 0)), "")</f>
        <v/>
      </c>
      <c r="V183" s="836"/>
      <c r="W183" s="836" t="str">
        <f>IF(ISNUMBER(INDEX(Database!$U$6:$U$197, MATCH($B183&amp;"% GDP", Database!$AD$6:$AD$197, 0))), INDEX(Database!$U$6:$U$197, MATCH($B183&amp;"% GDP", Database!$AD$6:$AD$197, 0)), "")</f>
        <v/>
      </c>
      <c r="X183" s="836" t="str">
        <f>IF(ISNUMBER(INDEX(Database!$W$6:$W$197, MATCH($B183&amp;"% GDP", Database!$AD$6:$AD$197, 0))), INDEX(Database!$W$6:$W$197, MATCH($B183&amp;"% GDP", Database!$AD$6:$AD$197, 0)), "")</f>
        <v/>
      </c>
      <c r="AB183" s="562"/>
    </row>
    <row r="184" spans="2:28">
      <c r="B184" s="764" t="s">
        <v>1115</v>
      </c>
      <c r="C184" s="839">
        <v>0.17836121884745579</v>
      </c>
      <c r="D184" s="833">
        <v>4.7377198756355446E-2</v>
      </c>
      <c r="E184" s="833">
        <v>0.13098402009110033</v>
      </c>
      <c r="F184" s="833" t="s">
        <v>452</v>
      </c>
      <c r="G184" s="837"/>
      <c r="H184" s="839" t="s">
        <v>452</v>
      </c>
      <c r="I184" s="833" t="s">
        <v>452</v>
      </c>
      <c r="J184" s="837"/>
      <c r="K184" s="833" t="s">
        <v>452</v>
      </c>
      <c r="L184" s="833" t="s">
        <v>452</v>
      </c>
      <c r="M184" s="817"/>
      <c r="N184" s="817"/>
      <c r="O184" s="839">
        <v>0.74022575937006574</v>
      </c>
      <c r="P184" s="833">
        <v>0.19662246733267372</v>
      </c>
      <c r="Q184" s="833">
        <v>0.54360329203739188</v>
      </c>
      <c r="R184" s="833" t="s">
        <v>452</v>
      </c>
      <c r="S184" s="832"/>
      <c r="T184" s="839" t="s">
        <v>452</v>
      </c>
      <c r="U184" s="833" t="s">
        <v>452</v>
      </c>
      <c r="V184" s="837"/>
      <c r="W184" s="833" t="s">
        <v>452</v>
      </c>
      <c r="X184" s="833" t="s">
        <v>452</v>
      </c>
      <c r="AB184" s="717"/>
    </row>
    <row r="185" spans="2:28">
      <c r="B185" s="764" t="s">
        <v>1116</v>
      </c>
      <c r="C185" s="839">
        <v>0.3457141711808544</v>
      </c>
      <c r="D185" s="833">
        <v>0.10803567849401699</v>
      </c>
      <c r="E185" s="833">
        <v>0.23767849268683738</v>
      </c>
      <c r="F185" s="833" t="s">
        <v>452</v>
      </c>
      <c r="G185" s="837"/>
      <c r="H185" s="839" t="s">
        <v>452</v>
      </c>
      <c r="I185" s="833" t="s">
        <v>452</v>
      </c>
      <c r="J185" s="837"/>
      <c r="K185" s="833">
        <v>0</v>
      </c>
      <c r="L185" s="833" t="s">
        <v>452</v>
      </c>
      <c r="M185" s="817"/>
      <c r="N185" s="817"/>
      <c r="O185" s="839">
        <v>3.3151884089597101</v>
      </c>
      <c r="P185" s="833">
        <v>1.0359963777999093</v>
      </c>
      <c r="Q185" s="833">
        <v>2.2791920311598006</v>
      </c>
      <c r="R185" s="833" t="s">
        <v>452</v>
      </c>
      <c r="S185" s="832"/>
      <c r="T185" s="839" t="s">
        <v>452</v>
      </c>
      <c r="U185" s="833" t="s">
        <v>452</v>
      </c>
      <c r="V185" s="837"/>
      <c r="W185" s="833">
        <v>0</v>
      </c>
      <c r="X185" s="833" t="s">
        <v>452</v>
      </c>
      <c r="AB185" s="717"/>
    </row>
    <row r="186" spans="2:28">
      <c r="B186" s="764" t="s">
        <v>1117</v>
      </c>
      <c r="C186" s="839">
        <v>1.2355704568295515E-2</v>
      </c>
      <c r="D186" s="833">
        <v>5.9490429402904331E-3</v>
      </c>
      <c r="E186" s="833">
        <v>6.4066616280050821E-3</v>
      </c>
      <c r="F186" s="833" t="s">
        <v>452</v>
      </c>
      <c r="G186" s="837"/>
      <c r="H186" s="839" t="s">
        <v>452</v>
      </c>
      <c r="I186" s="833" t="s">
        <v>452</v>
      </c>
      <c r="J186" s="837"/>
      <c r="K186" s="833" t="s">
        <v>452</v>
      </c>
      <c r="L186" s="833" t="s">
        <v>452</v>
      </c>
      <c r="M186" s="817"/>
      <c r="N186" s="817"/>
      <c r="O186" s="839">
        <v>3.0226424935506748</v>
      </c>
      <c r="P186" s="833">
        <v>1.4553463857836579</v>
      </c>
      <c r="Q186" s="833">
        <v>1.5672961077670164</v>
      </c>
      <c r="R186" s="833" t="s">
        <v>452</v>
      </c>
      <c r="S186" s="832"/>
      <c r="T186" s="839" t="s">
        <v>452</v>
      </c>
      <c r="U186" s="833" t="s">
        <v>452</v>
      </c>
      <c r="V186" s="837"/>
      <c r="W186" s="833" t="s">
        <v>452</v>
      </c>
      <c r="X186" s="833" t="s">
        <v>452</v>
      </c>
      <c r="AB186" s="717"/>
    </row>
    <row r="187" spans="2:28">
      <c r="B187" s="764" t="s">
        <v>93</v>
      </c>
      <c r="C187" s="840">
        <f>IF(ISNUMBER(INDEX(Database!$G$6:$G$197, MATCH($B187&amp;"USD bn", Database!$AD$6:$AD$197, 0))), INDEX(Database!$G$6:$G$197, MATCH($B187&amp;"USD bn", Database!$AD$6:$AD$197, 0)), "")</f>
        <v>1.3831990179032452</v>
      </c>
      <c r="D187" s="837">
        <f>IF(ISNUMBER(INDEX(Database!$H$6:$H$197, MATCH($B187&amp;"USD bn", Database!$AD$6:$AD$197, 0))), INDEX(Database!$H$6:$H$197, MATCH($B187&amp;"USD bn", Database!$AD$6:$AD$197, 0)), "")</f>
        <v>0.31491700910753129</v>
      </c>
      <c r="E187" s="837">
        <f>IF(ISNUMBER(INDEX(Database!$J$6:$J$197, MATCH($B187&amp;"USD bn", Database!$AD$6:$AD$197, 0))), INDEX(Database!$J$6:$J$197, MATCH($B187&amp;"USD bn", Database!$AD$6:$AD$197, 0)), "")</f>
        <v>1.0682820087957139</v>
      </c>
      <c r="F187" s="833">
        <f>IF(ISNUMBER(INDEX(Database!$L$6:$L$197, MATCH($B187&amp;"USD bn", Database!$AD$6:$AD$197, 0))), INDEX(Database!$L$6:$L$197, MATCH($B187&amp;"USD bn", Database!$AD$6:$AD$197, 0)), "")</f>
        <v>0.13918983827957185</v>
      </c>
      <c r="G187" s="837"/>
      <c r="H187" s="840">
        <f>IF(ISNUMBER(INDEX(Database!$P$6:$P$197, MATCH($B187&amp;"USD bn", Database!$AD$6:$AD$197, 0))), INDEX(Database!$P$6:$P$197, MATCH($B187&amp;"USD bn", Database!$AD$6:$AD$197, 0)), "")</f>
        <v>0.34797459569892963</v>
      </c>
      <c r="I187" s="837" t="str">
        <f>IF(ISNUMBER(INDEX(Database!$Q$6:$Q$197, MATCH($B187&amp;"USD bn", Database!$AD$6:$AD$197, 0))), INDEX(Database!$Q$6:$Q$197, MATCH($B187&amp;"USD bn", Database!$AD$6:$AD$197, 0)), "")</f>
        <v/>
      </c>
      <c r="J187" s="837"/>
      <c r="K187" s="837">
        <f>IF(ISNUMBER(INDEX(Database!$U$6:$U$197, MATCH($B187&amp;"USD bn", Database!$AD$6:$AD$197, 0))), INDEX(Database!$U$6:$U$197, MATCH($B187&amp;"USD bn", Database!$AD$6:$AD$197, 0)), "")</f>
        <v>0.34797459569892963</v>
      </c>
      <c r="L187" s="837" t="str">
        <f>IF(ISNUMBER(INDEX(Database!$W$6:$W$197, MATCH($B187&amp;"USD bn", Database!$AD$6:$AD$197, 0))), INDEX(Database!$W$6:$W$197, MATCH($B187&amp;"USD bn", Database!$AD$6:$AD$197, 0)), "")</f>
        <v/>
      </c>
      <c r="M187" s="817"/>
      <c r="N187" s="817"/>
      <c r="O187" s="835">
        <f>IF(ISNUMBER(INDEX(Database!$G$6:$G$197, MATCH($B187&amp;"% GDP", Database!$AD$6:$AD$197, 0))), INDEX(Database!$G$6:$G$197, MATCH($B187&amp;"% GDP", Database!$AD$6:$AD$197, 0)), "")</f>
        <v>5.6043392101381073</v>
      </c>
      <c r="P187" s="836">
        <f>IF(ISNUMBER(INDEX(Database!$H$6:$H$197, MATCH($B187&amp;"% GDP", Database!$AD$6:$AD$197, 0))), INDEX(Database!$H$6:$H$197, MATCH($B187&amp;"% GDP", Database!$AD$6:$AD$197, 0)), "")</f>
        <v>1.2759564742578584</v>
      </c>
      <c r="Q187" s="836">
        <f>IF(ISNUMBER(INDEX(Database!$J$6:$J$197, MATCH($B187&amp;"% GDP", Database!$AD$6:$AD$197, 0))), INDEX(Database!$J$6:$J$197, MATCH($B187&amp;"% GDP", Database!$AD$6:$AD$197, 0)), "")</f>
        <v>4.3283827358802496</v>
      </c>
      <c r="R187" s="836">
        <f>IF(ISNUMBER(INDEX(Database!$L$6:$L$197, MATCH($B187&amp;"% GDP", Database!$AD$6:$AD$197, 0))), INDEX(Database!$L$6:$L$197, MATCH($B187&amp;"% GDP", Database!$AD$6:$AD$197, 0)), "")</f>
        <v>0.56395866265540706</v>
      </c>
      <c r="S187" s="836"/>
      <c r="T187" s="835">
        <f>IF(ISNUMBER(INDEX(Database!$P$6:$P$197, MATCH($B187&amp;"% GDP", Database!$AD$6:$AD$197, 0))), INDEX(Database!$P$6:$P$197, MATCH($B187&amp;"% GDP", Database!$AD$6:$AD$197, 0)), "")</f>
        <v>1.4098966566385176</v>
      </c>
      <c r="U187" s="836" t="str">
        <f>IF(ISNUMBER(INDEX(Database!$Q$6:$Q$197, MATCH($B187&amp;"% GDP", Database!$AD$6:$AD$197, 0))), INDEX(Database!$Q$6:$Q$197, MATCH($B187&amp;"% GDP", Database!$AD$6:$AD$197, 0)), "")</f>
        <v/>
      </c>
      <c r="V187" s="836"/>
      <c r="W187" s="836">
        <f>IF(ISNUMBER(INDEX(Database!$U$6:$U$197, MATCH($B187&amp;"% GDP", Database!$AD$6:$AD$197, 0))), INDEX(Database!$U$6:$U$197, MATCH($B187&amp;"% GDP", Database!$AD$6:$AD$197, 0)), "")</f>
        <v>1.4098966566385176</v>
      </c>
      <c r="X187" s="836" t="str">
        <f>IF(ISNUMBER(INDEX(Database!$W$6:$W$197, MATCH($B187&amp;"% GDP", Database!$AD$6:$AD$197, 0))), INDEX(Database!$W$6:$W$197, MATCH($B187&amp;"% GDP", Database!$AD$6:$AD$197, 0)), "")</f>
        <v/>
      </c>
      <c r="AB187" s="562"/>
    </row>
    <row r="188" spans="2:28">
      <c r="B188" s="764" t="s">
        <v>1118</v>
      </c>
      <c r="C188" s="839">
        <v>0.1378674322965478</v>
      </c>
      <c r="D188" s="833">
        <v>4.2198208293371724E-2</v>
      </c>
      <c r="E188" s="833">
        <v>9.5669224003176082E-2</v>
      </c>
      <c r="F188" s="833" t="s">
        <v>452</v>
      </c>
      <c r="G188" s="837"/>
      <c r="H188" s="839" t="s">
        <v>452</v>
      </c>
      <c r="I188" s="833" t="s">
        <v>452</v>
      </c>
      <c r="J188" s="837"/>
      <c r="K188" s="833" t="s">
        <v>452</v>
      </c>
      <c r="L188" s="833" t="s">
        <v>452</v>
      </c>
      <c r="M188" s="817"/>
      <c r="N188" s="817"/>
      <c r="O188" s="839">
        <v>3.330523366323817</v>
      </c>
      <c r="P188" s="833">
        <v>1.019400422543397</v>
      </c>
      <c r="Q188" s="833">
        <v>2.3111229437804202</v>
      </c>
      <c r="R188" s="833" t="s">
        <v>452</v>
      </c>
      <c r="S188" s="832"/>
      <c r="T188" s="839" t="s">
        <v>452</v>
      </c>
      <c r="U188" s="833" t="s">
        <v>452</v>
      </c>
      <c r="V188" s="837"/>
      <c r="W188" s="833" t="s">
        <v>452</v>
      </c>
      <c r="X188" s="833" t="s">
        <v>452</v>
      </c>
      <c r="AB188" s="717"/>
    </row>
    <row r="189" spans="2:28">
      <c r="B189" s="764" t="s">
        <v>1119</v>
      </c>
      <c r="C189" s="839">
        <v>2.84958024691358E-2</v>
      </c>
      <c r="D189" s="833">
        <v>1.8449999999999994E-2</v>
      </c>
      <c r="E189" s="833">
        <v>1.0045802469135806E-2</v>
      </c>
      <c r="F189" s="833" t="s">
        <v>452</v>
      </c>
      <c r="G189" s="837"/>
      <c r="H189" s="839">
        <v>1.0864197530864197E-2</v>
      </c>
      <c r="I189" s="833">
        <v>1.0864197530864197E-2</v>
      </c>
      <c r="J189" s="837"/>
      <c r="K189" s="833" t="s">
        <v>452</v>
      </c>
      <c r="L189" s="833" t="s">
        <v>452</v>
      </c>
      <c r="M189" s="817"/>
      <c r="N189" s="817"/>
      <c r="O189" s="839">
        <v>1.8707825875297972</v>
      </c>
      <c r="P189" s="833">
        <v>1.2112639669407252</v>
      </c>
      <c r="Q189" s="833">
        <v>0.65951862058907196</v>
      </c>
      <c r="R189" s="833" t="s">
        <v>452</v>
      </c>
      <c r="S189" s="832"/>
      <c r="T189" s="839">
        <v>0.71324720861041802</v>
      </c>
      <c r="U189" s="833">
        <v>0.71324720861041802</v>
      </c>
      <c r="V189" s="837"/>
      <c r="W189" s="833" t="s">
        <v>452</v>
      </c>
      <c r="X189" s="833" t="s">
        <v>452</v>
      </c>
      <c r="AB189" s="717"/>
    </row>
    <row r="190" spans="2:28">
      <c r="B190" s="764" t="s">
        <v>1120</v>
      </c>
      <c r="C190" s="839">
        <v>0.01</v>
      </c>
      <c r="D190" s="833">
        <v>0.01</v>
      </c>
      <c r="E190" s="833">
        <v>0</v>
      </c>
      <c r="F190" s="833" t="s">
        <v>452</v>
      </c>
      <c r="G190" s="837"/>
      <c r="H190" s="839" t="s">
        <v>452</v>
      </c>
      <c r="I190" s="833" t="s">
        <v>452</v>
      </c>
      <c r="J190" s="837"/>
      <c r="K190" s="833" t="s">
        <v>452</v>
      </c>
      <c r="L190" s="833" t="s">
        <v>452</v>
      </c>
      <c r="M190" s="817"/>
      <c r="N190" s="817"/>
      <c r="O190" s="839">
        <v>0.20334499412141432</v>
      </c>
      <c r="P190" s="833">
        <v>0.20334499412141432</v>
      </c>
      <c r="Q190" s="833">
        <v>0</v>
      </c>
      <c r="R190" s="833" t="s">
        <v>452</v>
      </c>
      <c r="S190" s="832"/>
      <c r="T190" s="839" t="s">
        <v>452</v>
      </c>
      <c r="U190" s="833" t="s">
        <v>452</v>
      </c>
      <c r="V190" s="837"/>
      <c r="W190" s="833" t="s">
        <v>452</v>
      </c>
      <c r="X190" s="833" t="s">
        <v>452</v>
      </c>
      <c r="AB190" s="717"/>
    </row>
    <row r="191" spans="2:28">
      <c r="B191" s="764" t="s">
        <v>1121</v>
      </c>
      <c r="C191" s="839">
        <v>7.242158094217209E-3</v>
      </c>
      <c r="D191" s="833">
        <v>7.242158094217209E-3</v>
      </c>
      <c r="E191" s="833">
        <v>0</v>
      </c>
      <c r="F191" s="833" t="s">
        <v>452</v>
      </c>
      <c r="G191" s="837"/>
      <c r="H191" s="839" t="s">
        <v>452</v>
      </c>
      <c r="I191" s="833" t="s">
        <v>452</v>
      </c>
      <c r="J191" s="837"/>
      <c r="K191" s="833" t="s">
        <v>452</v>
      </c>
      <c r="L191" s="833" t="s">
        <v>452</v>
      </c>
      <c r="M191" s="817"/>
      <c r="N191" s="817"/>
      <c r="O191" s="839">
        <v>9.8468975932919242E-2</v>
      </c>
      <c r="P191" s="833">
        <v>9.8468975932919242E-2</v>
      </c>
      <c r="Q191" s="833">
        <v>0</v>
      </c>
      <c r="R191" s="833" t="s">
        <v>452</v>
      </c>
      <c r="S191" s="832"/>
      <c r="T191" s="839" t="s">
        <v>452</v>
      </c>
      <c r="U191" s="833" t="s">
        <v>452</v>
      </c>
      <c r="V191" s="837"/>
      <c r="W191" s="833" t="s">
        <v>452</v>
      </c>
      <c r="X191" s="833" t="s">
        <v>452</v>
      </c>
      <c r="AB191" s="717"/>
    </row>
    <row r="192" spans="2:28">
      <c r="B192" s="764" t="s">
        <v>1122</v>
      </c>
      <c r="C192" s="839">
        <v>0.45</v>
      </c>
      <c r="D192" s="833">
        <v>0.24</v>
      </c>
      <c r="E192" s="833">
        <v>0.21000000000000002</v>
      </c>
      <c r="F192" s="833" t="s">
        <v>452</v>
      </c>
      <c r="G192" s="837"/>
      <c r="H192" s="839" t="s">
        <v>452</v>
      </c>
      <c r="I192" s="833" t="s">
        <v>452</v>
      </c>
      <c r="J192" s="837"/>
      <c r="K192" s="833" t="s">
        <v>452</v>
      </c>
      <c r="L192" s="833" t="s">
        <v>452</v>
      </c>
      <c r="M192" s="817"/>
      <c r="N192" s="817"/>
      <c r="O192" s="839">
        <v>1</v>
      </c>
      <c r="P192" s="833">
        <v>0.54</v>
      </c>
      <c r="Q192" s="833">
        <v>0.45999999999999996</v>
      </c>
      <c r="R192" s="833" t="s">
        <v>452</v>
      </c>
      <c r="S192" s="832"/>
      <c r="T192" s="839" t="s">
        <v>452</v>
      </c>
      <c r="U192" s="833" t="s">
        <v>452</v>
      </c>
      <c r="V192" s="837"/>
      <c r="W192" s="833" t="s">
        <v>452</v>
      </c>
      <c r="X192" s="833" t="s">
        <v>452</v>
      </c>
      <c r="AB192" s="717"/>
    </row>
    <row r="193" spans="2:28">
      <c r="B193" s="764" t="s">
        <v>1123</v>
      </c>
      <c r="C193" s="839">
        <v>0.24153120946037318</v>
      </c>
      <c r="D193" s="833">
        <v>0.39611118351501201</v>
      </c>
      <c r="E193" s="833">
        <v>-0.1545799740546388</v>
      </c>
      <c r="F193" s="833" t="s">
        <v>452</v>
      </c>
      <c r="G193" s="837"/>
      <c r="H193" s="839">
        <v>3.8644993513659714E-2</v>
      </c>
      <c r="I193" s="833">
        <v>3.8644993513659714E-2</v>
      </c>
      <c r="J193" s="837"/>
      <c r="K193" s="833" t="s">
        <v>452</v>
      </c>
      <c r="L193" s="833" t="s">
        <v>452</v>
      </c>
      <c r="M193" s="817"/>
      <c r="N193" s="817"/>
      <c r="O193" s="839">
        <v>3.1034724309315966</v>
      </c>
      <c r="P193" s="833">
        <v>5.0896947867278186</v>
      </c>
      <c r="Q193" s="833">
        <v>-1.9862223557962215</v>
      </c>
      <c r="R193" s="833" t="s">
        <v>452</v>
      </c>
      <c r="S193" s="832"/>
      <c r="T193" s="839">
        <v>0.4965555889490556</v>
      </c>
      <c r="U193" s="833">
        <v>0.4965555889490556</v>
      </c>
      <c r="V193" s="837"/>
      <c r="W193" s="833" t="s">
        <v>452</v>
      </c>
      <c r="X193" s="833" t="s">
        <v>452</v>
      </c>
      <c r="AB193" s="717"/>
    </row>
    <row r="194" spans="2:28">
      <c r="B194" s="764" t="s">
        <v>1124</v>
      </c>
      <c r="C194" s="839">
        <v>2.0146797647297859E-2</v>
      </c>
      <c r="D194" s="833">
        <v>1.7918986772981694E-2</v>
      </c>
      <c r="E194" s="833">
        <v>2.2278108743161648E-3</v>
      </c>
      <c r="F194" s="833">
        <v>9.5194617231465252E-3</v>
      </c>
      <c r="G194" s="837"/>
      <c r="H194" s="839" t="s">
        <v>452</v>
      </c>
      <c r="I194" s="833" t="s">
        <v>452</v>
      </c>
      <c r="J194" s="837"/>
      <c r="K194" s="833" t="s">
        <v>452</v>
      </c>
      <c r="L194" s="833" t="s">
        <v>452</v>
      </c>
      <c r="M194" s="817"/>
      <c r="N194" s="817"/>
      <c r="O194" s="839">
        <v>3.0596498246060689E-2</v>
      </c>
      <c r="P194" s="833">
        <v>2.7213170895388078E-2</v>
      </c>
      <c r="Q194" s="833">
        <v>3.3833273506726118E-3</v>
      </c>
      <c r="R194" s="833">
        <v>1.4456997038174917E-2</v>
      </c>
      <c r="S194" s="832"/>
      <c r="T194" s="839" t="s">
        <v>452</v>
      </c>
      <c r="U194" s="833" t="s">
        <v>452</v>
      </c>
      <c r="V194" s="837"/>
      <c r="W194" s="833" t="s">
        <v>452</v>
      </c>
      <c r="X194" s="833" t="s">
        <v>452</v>
      </c>
      <c r="AB194" s="717"/>
    </row>
    <row r="195" spans="2:28">
      <c r="B195" s="764" t="s">
        <v>1125</v>
      </c>
      <c r="C195" s="839">
        <v>0.15</v>
      </c>
      <c r="D195" s="833" t="s">
        <v>452</v>
      </c>
      <c r="E195" s="833" t="s">
        <v>452</v>
      </c>
      <c r="F195" s="833" t="s">
        <v>452</v>
      </c>
      <c r="G195" s="837"/>
      <c r="H195" s="839" t="s">
        <v>452</v>
      </c>
      <c r="I195" s="833" t="s">
        <v>452</v>
      </c>
      <c r="J195" s="837"/>
      <c r="K195" s="833" t="s">
        <v>452</v>
      </c>
      <c r="L195" s="833" t="s">
        <v>452</v>
      </c>
      <c r="M195" s="817"/>
      <c r="N195" s="817"/>
      <c r="O195" s="839">
        <v>7.6828773064644338</v>
      </c>
      <c r="P195" s="833" t="s">
        <v>452</v>
      </c>
      <c r="Q195" s="833" t="s">
        <v>452</v>
      </c>
      <c r="R195" s="833" t="s">
        <v>452</v>
      </c>
      <c r="S195" s="832"/>
      <c r="T195" s="839" t="s">
        <v>452</v>
      </c>
      <c r="U195" s="833" t="s">
        <v>452</v>
      </c>
      <c r="V195" s="837"/>
      <c r="W195" s="833" t="s">
        <v>452</v>
      </c>
      <c r="X195" s="833" t="s">
        <v>452</v>
      </c>
      <c r="AB195" s="717"/>
    </row>
    <row r="196" spans="2:28">
      <c r="B196" s="764" t="s">
        <v>1126</v>
      </c>
      <c r="C196" s="839">
        <v>0.26490000000000002</v>
      </c>
      <c r="D196" s="833">
        <v>0.16880000000000001</v>
      </c>
      <c r="E196" s="833">
        <v>9.6100000000000019E-2</v>
      </c>
      <c r="F196" s="833">
        <v>3.4000000000000002E-2</v>
      </c>
      <c r="G196" s="837"/>
      <c r="H196" s="839" t="s">
        <v>452</v>
      </c>
      <c r="I196" s="833" t="s">
        <v>452</v>
      </c>
      <c r="J196" s="837"/>
      <c r="K196" s="833" t="s">
        <v>452</v>
      </c>
      <c r="L196" s="833" t="s">
        <v>452</v>
      </c>
      <c r="M196" s="817"/>
      <c r="N196" s="817"/>
      <c r="O196" s="839">
        <v>4.66</v>
      </c>
      <c r="P196" s="833">
        <v>2.97</v>
      </c>
      <c r="Q196" s="833">
        <v>1.69</v>
      </c>
      <c r="R196" s="833">
        <v>0.65754152247036468</v>
      </c>
      <c r="S196" s="832"/>
      <c r="T196" s="839" t="s">
        <v>452</v>
      </c>
      <c r="U196" s="833" t="s">
        <v>452</v>
      </c>
      <c r="V196" s="837"/>
      <c r="W196" s="833" t="s">
        <v>452</v>
      </c>
      <c r="X196" s="833" t="s">
        <v>452</v>
      </c>
      <c r="AB196" s="717"/>
    </row>
    <row r="197" spans="2:28">
      <c r="B197" s="764" t="s">
        <v>1127</v>
      </c>
      <c r="C197" s="839">
        <v>6.698215662646835E-2</v>
      </c>
      <c r="D197" s="833">
        <v>5.1098875436668051E-2</v>
      </c>
      <c r="E197" s="833">
        <v>1.58832811898003E-2</v>
      </c>
      <c r="F197" s="833" t="s">
        <v>452</v>
      </c>
      <c r="G197" s="837"/>
      <c r="H197" s="839">
        <v>0.24783674593153771</v>
      </c>
      <c r="I197" s="833">
        <v>0.24783674593153771</v>
      </c>
      <c r="J197" s="837"/>
      <c r="K197" s="833" t="s">
        <v>452</v>
      </c>
      <c r="L197" s="833" t="s">
        <v>452</v>
      </c>
      <c r="M197" s="817"/>
      <c r="N197" s="817"/>
      <c r="O197" s="839">
        <v>1.7729503277919274</v>
      </c>
      <c r="P197" s="833">
        <v>0.50553140168712718</v>
      </c>
      <c r="Q197" s="833">
        <v>1.2674189261048001</v>
      </c>
      <c r="R197" s="833" t="s">
        <v>452</v>
      </c>
      <c r="S197" s="832"/>
      <c r="T197" s="839">
        <v>0.63354074260132731</v>
      </c>
      <c r="U197" s="833">
        <v>0.63354074260132731</v>
      </c>
      <c r="V197" s="837"/>
      <c r="W197" s="833" t="s">
        <v>452</v>
      </c>
      <c r="X197" s="833" t="s">
        <v>452</v>
      </c>
      <c r="AB197" s="717"/>
    </row>
    <row r="198" spans="2:28">
      <c r="B198" s="764" t="s">
        <v>913</v>
      </c>
      <c r="C198" s="840">
        <f>IF(ISNUMBER(INDEX(Database!$G$6:$G$197, MATCH($B198&amp;"USD bn", Database!$AD$6:$AD$197, 0))), INDEX(Database!$G$6:$G$197, MATCH($B198&amp;"USD bn", Database!$AD$6:$AD$197, 0)), "")</f>
        <v>3.3915014286441689</v>
      </c>
      <c r="D198" s="837">
        <f>IF(ISNUMBER(INDEX(Database!$H$6:$H$197, MATCH($B198&amp;"USD bn", Database!$AD$6:$AD$197, 0))), INDEX(Database!$H$6:$H$197, MATCH($B198&amp;"USD bn", Database!$AD$6:$AD$197, 0)), "")</f>
        <v>0.70117551530619915</v>
      </c>
      <c r="E198" s="837">
        <f>IF(ISNUMBER(INDEX(Database!$J$6:$J$197, MATCH($B198&amp;"USD bn", Database!$AD$6:$AD$197, 0))), INDEX(Database!$J$6:$J$197, MATCH($B198&amp;"USD bn", Database!$AD$6:$AD$197, 0)), "")</f>
        <v>2.6903259133379698</v>
      </c>
      <c r="F198" s="833" t="str">
        <f>IF(ISNUMBER(INDEX(Database!$L$6:$L$197, MATCH($B198&amp;"USD bn", Database!$AD$6:$AD$197, 0))), INDEX(Database!$L$6:$L$197, MATCH($B198&amp;"USD bn", Database!$AD$6:$AD$197, 0)), "")</f>
        <v/>
      </c>
      <c r="G198" s="837"/>
      <c r="H198" s="840">
        <f>IF(ISNUMBER(INDEX(Database!$P$6:$P$197, MATCH($B198&amp;"USD bn", Database!$AD$6:$AD$197, 0))), INDEX(Database!$P$6:$P$197, MATCH($B198&amp;"USD bn", Database!$AD$6:$AD$197, 0)), "")</f>
        <v>1.2307868087821581</v>
      </c>
      <c r="I198" s="837">
        <f>IF(ISNUMBER(INDEX(Database!$Q$6:$Q$197, MATCH($B198&amp;"USD bn", Database!$AD$6:$AD$197, 0))), INDEX(Database!$Q$6:$Q$197, MATCH($B198&amp;"USD bn", Database!$AD$6:$AD$197, 0)), "")</f>
        <v>1.2307868087821581</v>
      </c>
      <c r="J198" s="837"/>
      <c r="K198" s="837" t="str">
        <f>IF(ISNUMBER(INDEX(Database!$U$6:$U$197, MATCH($B198&amp;"USD bn", Database!$AD$6:$AD$197, 0))), INDEX(Database!$U$6:$U$197, MATCH($B198&amp;"USD bn", Database!$AD$6:$AD$197, 0)), "")</f>
        <v/>
      </c>
      <c r="L198" s="837" t="str">
        <f>IF(ISNUMBER(INDEX(Database!$W$6:$W$197, MATCH($B198&amp;"USD bn", Database!$AD$6:$AD$197, 0))), INDEX(Database!$W$6:$W$197, MATCH($B198&amp;"USD bn", Database!$AD$6:$AD$197, 0)), "")</f>
        <v/>
      </c>
      <c r="M198" s="817"/>
      <c r="N198" s="817"/>
      <c r="O198" s="835">
        <f>IF(ISNUMBER(INDEX(Database!$G$6:$G$197, MATCH($B198&amp;"% GDP", Database!$AD$6:$AD$197, 0))), INDEX(Database!$G$6:$G$197, MATCH($B198&amp;"% GDP", Database!$AD$6:$AD$197, 0)), "")</f>
        <v>5.6592682383610757</v>
      </c>
      <c r="P198" s="836">
        <f>IF(ISNUMBER(INDEX(Database!$H$6:$H$197, MATCH($B198&amp;"% GDP", Database!$AD$6:$AD$197, 0))), INDEX(Database!$H$6:$H$197, MATCH($B198&amp;"% GDP", Database!$AD$6:$AD$197, 0)), "")</f>
        <v>1.1700246651157062</v>
      </c>
      <c r="Q198" s="836">
        <f>IF(ISNUMBER(INDEX(Database!$J$6:$J$197, MATCH($B198&amp;"% GDP", Database!$AD$6:$AD$197, 0))), INDEX(Database!$J$6:$J$197, MATCH($B198&amp;"% GDP", Database!$AD$6:$AD$197, 0)), "")</f>
        <v>4.4892435732453695</v>
      </c>
      <c r="R198" s="836" t="str">
        <f>IF(ISNUMBER(INDEX(Database!$L$6:$L$197, MATCH($B198&amp;"% GDP", Database!$AD$6:$AD$197, 0))), INDEX(Database!$L$6:$L$197, MATCH($B198&amp;"% GDP", Database!$AD$6:$AD$197, 0)), "")</f>
        <v/>
      </c>
      <c r="S198" s="836"/>
      <c r="T198" s="835">
        <f>IF(ISNUMBER(INDEX(Database!$P$6:$P$197, MATCH($B198&amp;"% GDP", Database!$AD$6:$AD$197, 0))), INDEX(Database!$P$6:$P$197, MATCH($B198&amp;"% GDP", Database!$AD$6:$AD$197, 0)), "")</f>
        <v>2.0537666994052293</v>
      </c>
      <c r="U198" s="836">
        <f>IF(ISNUMBER(INDEX(Database!$Q$6:$Q$197, MATCH($B198&amp;"% GDP", Database!$AD$6:$AD$197, 0))), INDEX(Database!$Q$6:$Q$197, MATCH($B198&amp;"% GDP", Database!$AD$6:$AD$197, 0)), "")</f>
        <v>2.0537666994052293</v>
      </c>
      <c r="V198" s="836"/>
      <c r="W198" s="836" t="str">
        <f>IF(ISNUMBER(INDEX(Database!$U$6:$U$197, MATCH($B198&amp;"% GDP", Database!$AD$6:$AD$197, 0))), INDEX(Database!$U$6:$U$197, MATCH($B198&amp;"% GDP", Database!$AD$6:$AD$197, 0)), "")</f>
        <v/>
      </c>
      <c r="X198" s="836" t="str">
        <f>IF(ISNUMBER(INDEX(Database!$W$6:$W$197, MATCH($B198&amp;"% GDP", Database!$AD$6:$AD$197, 0))), INDEX(Database!$W$6:$W$197, MATCH($B198&amp;"% GDP", Database!$AD$6:$AD$197, 0)), "")</f>
        <v/>
      </c>
      <c r="AB198" s="717"/>
    </row>
    <row r="199" spans="2:28">
      <c r="B199" s="764" t="s">
        <v>33</v>
      </c>
      <c r="C199" s="840">
        <f>IF(ISNUMBER(INDEX(Database!$G$6:$G$197, MATCH($B199&amp;"USD bn", Database!$AD$6:$AD$197, 0))), INDEX(Database!$G$6:$G$197, MATCH($B199&amp;"USD bn", Database!$AD$6:$AD$197, 0)), "")</f>
        <v>6.074238065187715</v>
      </c>
      <c r="D199" s="837">
        <f>IF(ISNUMBER(INDEX(Database!$H$6:$H$197, MATCH($B199&amp;"USD bn", Database!$AD$6:$AD$197, 0))), INDEX(Database!$H$6:$H$197, MATCH($B199&amp;"USD bn", Database!$AD$6:$AD$197, 0)), "")</f>
        <v>1.3739501827943565</v>
      </c>
      <c r="E199" s="837">
        <f>IF(ISNUMBER(INDEX(Database!$J$6:$J$197, MATCH($B199&amp;"USD bn", Database!$AD$6:$AD$197, 0))), INDEX(Database!$J$6:$J$197, MATCH($B199&amp;"USD bn", Database!$AD$6:$AD$197, 0)), "")</f>
        <v>4.7002878823933587</v>
      </c>
      <c r="F199" s="833">
        <f>IF(ISNUMBER(INDEX(Database!$L$6:$L$197, MATCH($B199&amp;"USD bn", Database!$AD$6:$AD$197, 0))), INDEX(Database!$L$6:$L$197, MATCH($B199&amp;"USD bn", Database!$AD$6:$AD$197, 0)), "")</f>
        <v>12.70580890044938</v>
      </c>
      <c r="G199" s="837"/>
      <c r="H199" s="840">
        <f>IF(ISNUMBER(INDEX(Database!$P$6:$P$197, MATCH($B199&amp;"USD bn", Database!$AD$6:$AD$197, 0))), INDEX(Database!$P$6:$P$197, MATCH($B199&amp;"USD bn", Database!$AD$6:$AD$197, 0)), "")</f>
        <v>3.2776679909294839</v>
      </c>
      <c r="I199" s="837">
        <f>IF(ISNUMBER(INDEX(Database!$Q$6:$Q$197, MATCH($B199&amp;"USD bn", Database!$AD$6:$AD$197, 0))), INDEX(Database!$Q$6:$Q$197, MATCH($B199&amp;"USD bn", Database!$AD$6:$AD$197, 0)), "")</f>
        <v>1.119834004785369</v>
      </c>
      <c r="J199" s="837"/>
      <c r="K199" s="837" t="str">
        <f>IF(ISNUMBER(INDEX(Database!$U$6:$U$197, MATCH($B199&amp;"USD bn", Database!$AD$6:$AD$197, 0))), INDEX(Database!$U$6:$U$197, MATCH($B199&amp;"USD bn", Database!$AD$6:$AD$197, 0)), "")</f>
        <v/>
      </c>
      <c r="L199" s="837">
        <f>IF(ISNUMBER(INDEX(Database!$W$6:$W$197, MATCH($B199&amp;"USD bn", Database!$AD$6:$AD$197, 0))), INDEX(Database!$W$6:$W$197, MATCH($B199&amp;"USD bn", Database!$AD$6:$AD$197, 0)), "")</f>
        <v>2.1578339861441149</v>
      </c>
      <c r="M199" s="817"/>
      <c r="N199" s="817"/>
      <c r="O199" s="835">
        <f>IF(ISNUMBER(INDEX(Database!$G$6:$G$197, MATCH($B199&amp;"% GDP", Database!$AD$6:$AD$197, 0))), INDEX(Database!$G$6:$G$197, MATCH($B199&amp;"% GDP", Database!$AD$6:$AD$197, 0)), "")</f>
        <v>1.7703277371912942</v>
      </c>
      <c r="P199" s="836">
        <f>IF(ISNUMBER(INDEX(Database!$H$6:$H$197, MATCH($B199&amp;"% GDP", Database!$AD$6:$AD$197, 0))), INDEX(Database!$H$6:$H$197, MATCH($B199&amp;"% GDP", Database!$AD$6:$AD$197, 0)), "")</f>
        <v>0.40043575704745288</v>
      </c>
      <c r="Q199" s="836">
        <f>IF(ISNUMBER(INDEX(Database!$J$6:$J$197, MATCH($B199&amp;"% GDP", Database!$AD$6:$AD$197, 0))), INDEX(Database!$J$6:$J$197, MATCH($B199&amp;"% GDP", Database!$AD$6:$AD$197, 0)), "")</f>
        <v>1.3698919801438412</v>
      </c>
      <c r="R199" s="836">
        <f>IF(ISNUMBER(INDEX(Database!$L$6:$L$197, MATCH($B199&amp;"% GDP", Database!$AD$6:$AD$197, 0))), INDEX(Database!$L$6:$L$197, MATCH($B199&amp;"% GDP", Database!$AD$6:$AD$197, 0)), "")</f>
        <v>3.7030892893103009</v>
      </c>
      <c r="S199" s="836"/>
      <c r="T199" s="835">
        <f>IF(ISNUMBER(INDEX(Database!$P$6:$P$197, MATCH($B199&amp;"% GDP", Database!$AD$6:$AD$197, 0))), INDEX(Database!$P$6:$P$197, MATCH($B199&amp;"% GDP", Database!$AD$6:$AD$197, 0)), "")</f>
        <v>0.95527150819157258</v>
      </c>
      <c r="U199" s="836">
        <f>IF(ISNUMBER(INDEX(Database!$Q$6:$Q$197, MATCH($B199&amp;"% GDP", Database!$AD$6:$AD$197, 0))), INDEX(Database!$Q$6:$Q$197, MATCH($B199&amp;"% GDP", Database!$AD$6:$AD$197, 0)), "")</f>
        <v>0.3263739712612469</v>
      </c>
      <c r="V199" s="836"/>
      <c r="W199" s="836" t="str">
        <f>IF(ISNUMBER(INDEX(Database!$U$6:$U$197, MATCH($B199&amp;"% GDP", Database!$AD$6:$AD$197, 0))), INDEX(Database!$U$6:$U$197, MATCH($B199&amp;"% GDP", Database!$AD$6:$AD$197, 0)), "")</f>
        <v/>
      </c>
      <c r="X199" s="836">
        <f>IF(ISNUMBER(INDEX(Database!$W$6:$W$197, MATCH($B199&amp;"% GDP", Database!$AD$6:$AD$197, 0))), INDEX(Database!$W$6:$W$197, MATCH($B199&amp;"% GDP", Database!$AD$6:$AD$197, 0)), "")</f>
        <v>0.62889753693032568</v>
      </c>
      <c r="AB199" s="562"/>
    </row>
    <row r="200" spans="2:28">
      <c r="B200" s="764" t="s">
        <v>1128</v>
      </c>
      <c r="C200" s="839" t="s">
        <v>452</v>
      </c>
      <c r="D200" s="833" t="s">
        <v>452</v>
      </c>
      <c r="E200" s="833" t="s">
        <v>452</v>
      </c>
      <c r="F200" s="833" t="s">
        <v>452</v>
      </c>
      <c r="G200" s="837"/>
      <c r="H200" s="839" t="s">
        <v>452</v>
      </c>
      <c r="I200" s="833" t="s">
        <v>452</v>
      </c>
      <c r="J200" s="837"/>
      <c r="K200" s="833" t="s">
        <v>452</v>
      </c>
      <c r="L200" s="833" t="s">
        <v>452</v>
      </c>
      <c r="M200" s="817"/>
      <c r="N200" s="817"/>
      <c r="O200" s="839" t="s">
        <v>452</v>
      </c>
      <c r="P200" s="833" t="s">
        <v>452</v>
      </c>
      <c r="Q200" s="833" t="s">
        <v>452</v>
      </c>
      <c r="R200" s="833" t="s">
        <v>452</v>
      </c>
      <c r="S200" s="832"/>
      <c r="T200" s="839" t="s">
        <v>452</v>
      </c>
      <c r="U200" s="833" t="s">
        <v>452</v>
      </c>
      <c r="V200" s="837"/>
      <c r="W200" s="833" t="s">
        <v>452</v>
      </c>
      <c r="X200" s="833" t="s">
        <v>452</v>
      </c>
      <c r="AB200" s="717"/>
    </row>
    <row r="201" spans="2:28">
      <c r="B201" s="764" t="s">
        <v>916</v>
      </c>
      <c r="C201" s="839">
        <v>0.39701731992953948</v>
      </c>
      <c r="D201" s="833">
        <v>5.5917932384442183E-2</v>
      </c>
      <c r="E201" s="833">
        <v>0.34109938754509728</v>
      </c>
      <c r="F201" s="833" t="s">
        <v>452</v>
      </c>
      <c r="G201" s="837"/>
      <c r="H201" s="839">
        <v>5.032613914599797E-2</v>
      </c>
      <c r="I201" s="833">
        <v>5.032613914599797E-2</v>
      </c>
      <c r="J201" s="837"/>
      <c r="K201" s="833" t="s">
        <v>452</v>
      </c>
      <c r="L201" s="833" t="s">
        <v>452</v>
      </c>
      <c r="M201" s="817"/>
      <c r="N201" s="817"/>
      <c r="O201" s="839">
        <v>2.0995999624452013</v>
      </c>
      <c r="P201" s="833">
        <v>0.29571830456974668</v>
      </c>
      <c r="Q201" s="833">
        <v>1.8038816578754544</v>
      </c>
      <c r="R201" s="833" t="s">
        <v>452</v>
      </c>
      <c r="S201" s="832"/>
      <c r="T201" s="839">
        <v>0.26614647411277198</v>
      </c>
      <c r="U201" s="833">
        <v>0.26614647411277198</v>
      </c>
      <c r="V201" s="837"/>
      <c r="W201" s="833" t="s">
        <v>452</v>
      </c>
      <c r="X201" s="833" t="s">
        <v>452</v>
      </c>
      <c r="AB201" s="717"/>
    </row>
    <row r="202" spans="2:28">
      <c r="B202" s="764" t="s">
        <v>1129</v>
      </c>
      <c r="C202" s="839">
        <v>0.67232885262712061</v>
      </c>
      <c r="D202" s="833">
        <v>1.96170222251945E-2</v>
      </c>
      <c r="E202" s="833">
        <v>0.65271183040192615</v>
      </c>
      <c r="F202" s="833" t="s">
        <v>452</v>
      </c>
      <c r="G202" s="837"/>
      <c r="H202" s="839" t="s">
        <v>452</v>
      </c>
      <c r="I202" s="833" t="s">
        <v>452</v>
      </c>
      <c r="J202" s="837"/>
      <c r="K202" s="833" t="s">
        <v>452</v>
      </c>
      <c r="L202" s="833" t="s">
        <v>452</v>
      </c>
      <c r="M202" s="817"/>
      <c r="N202" s="817"/>
      <c r="O202" s="839">
        <v>4.8015924631708344</v>
      </c>
      <c r="P202" s="833">
        <v>0.14009951484052835</v>
      </c>
      <c r="Q202" s="833">
        <v>4.6614929483303067</v>
      </c>
      <c r="R202" s="833" t="s">
        <v>452</v>
      </c>
      <c r="S202" s="832"/>
      <c r="T202" s="839" t="s">
        <v>452</v>
      </c>
      <c r="U202" s="833" t="s">
        <v>452</v>
      </c>
      <c r="V202" s="837"/>
      <c r="W202" s="833" t="s">
        <v>452</v>
      </c>
      <c r="X202" s="833" t="s">
        <v>452</v>
      </c>
      <c r="AB202" s="717"/>
    </row>
    <row r="203" spans="2:28">
      <c r="B203" s="764"/>
      <c r="C203" s="841"/>
      <c r="D203" s="842"/>
      <c r="E203" s="842"/>
      <c r="F203" s="842"/>
      <c r="G203" s="842"/>
      <c r="H203" s="841"/>
      <c r="I203" s="842"/>
      <c r="J203" s="842"/>
      <c r="K203" s="842"/>
      <c r="L203" s="842"/>
      <c r="O203" s="843"/>
      <c r="P203" s="844"/>
      <c r="Q203" s="844"/>
      <c r="R203" s="844"/>
      <c r="S203" s="844"/>
      <c r="T203" s="843"/>
      <c r="U203" s="844"/>
      <c r="V203" s="844"/>
      <c r="W203" s="844"/>
      <c r="X203" s="844"/>
      <c r="AB203" s="562"/>
    </row>
    <row r="204" spans="2:28">
      <c r="B204" s="845" t="s">
        <v>1130</v>
      </c>
      <c r="C204" s="846">
        <v>5772.7515475438931</v>
      </c>
      <c r="D204" s="847">
        <v>591.33370255933994</v>
      </c>
      <c r="E204" s="847">
        <v>5175.6861250806205</v>
      </c>
      <c r="F204" s="846">
        <f>SUM(F8:F202)-IF(F10="", 0, F10)</f>
        <v>778.47731064844447</v>
      </c>
      <c r="G204" s="847"/>
      <c r="H204" s="846">
        <f>I204+ K204 + L204</f>
        <v>5716.5915472477263</v>
      </c>
      <c r="I204" s="846">
        <v>430.02082108414191</v>
      </c>
      <c r="J204" s="846"/>
      <c r="K204" s="846">
        <v>3841.5030220464664</v>
      </c>
      <c r="L204" s="846">
        <v>1445.0677041171186</v>
      </c>
      <c r="O204" s="843">
        <v>5.7416938666585953</v>
      </c>
      <c r="P204" s="843">
        <v>0.59562459358260511</v>
      </c>
      <c r="Q204" s="843">
        <v>5.1362820396906379</v>
      </c>
      <c r="R204" s="844">
        <v>1.0558887546891882</v>
      </c>
      <c r="S204" s="844"/>
      <c r="T204" s="843">
        <f>U204+W204+X204</f>
        <v>5.9721916070477139</v>
      </c>
      <c r="U204" s="844">
        <v>0.45667192134966234</v>
      </c>
      <c r="V204" s="844"/>
      <c r="W204" s="844">
        <v>4.0516896743191966</v>
      </c>
      <c r="X204" s="844">
        <v>1.4638300113788545</v>
      </c>
      <c r="AB204" s="719"/>
    </row>
    <row r="206" spans="2:28" s="383" customFormat="1" ht="3.65" customHeight="1">
      <c r="B206" s="848"/>
      <c r="C206" s="2"/>
      <c r="D206" s="2"/>
      <c r="E206" s="2"/>
      <c r="F206" s="2"/>
      <c r="G206" s="2"/>
      <c r="H206" s="2"/>
      <c r="I206" s="2"/>
      <c r="J206" s="2"/>
      <c r="K206" s="2"/>
      <c r="L206" s="2"/>
      <c r="M206" s="2"/>
      <c r="N206" s="2"/>
      <c r="O206" s="2"/>
      <c r="P206" s="2"/>
      <c r="Q206" s="2"/>
      <c r="R206" s="2"/>
      <c r="S206" s="2"/>
      <c r="T206" s="2"/>
      <c r="U206" s="2"/>
      <c r="V206" s="2"/>
      <c r="W206" s="2"/>
      <c r="X206" s="2"/>
      <c r="AB206" s="560"/>
    </row>
    <row r="207" spans="2:28">
      <c r="B207" s="849" t="s">
        <v>108</v>
      </c>
      <c r="AB207" s="566"/>
    </row>
    <row r="208" spans="2:28">
      <c r="B208" s="1245" t="s">
        <v>1251</v>
      </c>
      <c r="C208" s="1245"/>
      <c r="D208" s="1245"/>
      <c r="E208" s="1245"/>
      <c r="F208" s="1245"/>
      <c r="G208" s="1245"/>
      <c r="H208" s="1245"/>
      <c r="I208" s="1245"/>
      <c r="J208" s="1245"/>
      <c r="K208" s="1245"/>
      <c r="L208" s="1245"/>
      <c r="M208" s="1245"/>
      <c r="N208" s="1245"/>
      <c r="O208" s="1245"/>
      <c r="P208" s="1245"/>
      <c r="Q208" s="1245"/>
      <c r="R208" s="1245"/>
      <c r="S208" s="1245"/>
      <c r="T208" s="1245"/>
      <c r="U208" s="1245"/>
      <c r="V208" s="1245"/>
      <c r="W208" s="1245"/>
    </row>
    <row r="209" spans="2:2">
      <c r="B209" s="352" t="s">
        <v>1242</v>
      </c>
    </row>
    <row r="210" spans="2:2">
      <c r="B210" s="352" t="s">
        <v>1244</v>
      </c>
    </row>
  </sheetData>
  <mergeCells count="15">
    <mergeCell ref="U5:U6"/>
    <mergeCell ref="W5:X5"/>
    <mergeCell ref="B208:W208"/>
    <mergeCell ref="C5:E5"/>
    <mergeCell ref="F5:F6"/>
    <mergeCell ref="I5:I6"/>
    <mergeCell ref="K5:L5"/>
    <mergeCell ref="O5:Q5"/>
    <mergeCell ref="R5:R6"/>
    <mergeCell ref="B3:L3"/>
    <mergeCell ref="N3:X3"/>
    <mergeCell ref="C4:F4"/>
    <mergeCell ref="H4:L4"/>
    <mergeCell ref="O4:R4"/>
    <mergeCell ref="T4:X4"/>
  </mergeCells>
  <pageMargins left="0.7" right="0.7" top="0.75" bottom="0.75" header="0.3" footer="0.3"/>
  <pageSetup scale="6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107C-B9D4-4498-BB0B-2F78CA539ABF}">
  <sheetPr>
    <pageSetUpPr fitToPage="1"/>
  </sheetPr>
  <dimension ref="A1:Y80"/>
  <sheetViews>
    <sheetView showGridLines="0" view="pageBreakPreview" zoomScaleNormal="100" zoomScaleSheetLayoutView="100" workbookViewId="0">
      <selection activeCell="E36" sqref="E36"/>
    </sheetView>
  </sheetViews>
  <sheetFormatPr defaultRowHeight="12.5"/>
  <cols>
    <col min="1" max="1" width="3.453125" customWidth="1"/>
    <col min="2" max="2" width="26.54296875" customWidth="1"/>
    <col min="3" max="3" width="8" customWidth="1"/>
    <col min="4" max="4" width="6.453125" customWidth="1"/>
    <col min="5" max="5" width="7.81640625" bestFit="1" customWidth="1"/>
    <col min="6" max="6" width="9.81640625" customWidth="1"/>
    <col min="7" max="7" width="2.1796875" customWidth="1"/>
    <col min="8" max="8" width="6.81640625" customWidth="1"/>
    <col min="9" max="9" width="18.81640625" customWidth="1"/>
    <col min="10" max="10" width="1.81640625" style="479" customWidth="1"/>
    <col min="11" max="11" width="9.1796875" customWidth="1"/>
    <col min="12" max="12" width="8.54296875" bestFit="1" customWidth="1"/>
    <col min="13" max="13" width="2.1796875" customWidth="1"/>
    <col min="14" max="14" width="1.1796875" customWidth="1"/>
    <col min="15" max="15" width="6.81640625" customWidth="1"/>
    <col min="16" max="16" width="5.81640625" customWidth="1"/>
    <col min="17" max="17" width="7.81640625" bestFit="1" customWidth="1"/>
    <col min="18" max="18" width="9.81640625" customWidth="1"/>
    <col min="19" max="19" width="1.81640625" customWidth="1"/>
    <col min="20" max="20" width="6.81640625" customWidth="1"/>
    <col min="21" max="21" width="18.81640625" customWidth="1"/>
    <col min="22" max="22" width="1.54296875" style="479" customWidth="1"/>
    <col min="23" max="23" width="8.81640625" customWidth="1"/>
    <col min="24" max="24" width="9.81640625" customWidth="1"/>
    <col min="25" max="25" width="1.54296875" customWidth="1"/>
  </cols>
  <sheetData>
    <row r="1" spans="1:25" ht="15.75" customHeight="1">
      <c r="B1" s="557" t="s">
        <v>898</v>
      </c>
      <c r="I1" s="558"/>
      <c r="J1" s="558"/>
      <c r="K1" s="558"/>
      <c r="L1" s="558"/>
    </row>
    <row r="2" spans="1:25" s="479" customFormat="1" ht="15.75" customHeight="1">
      <c r="B2" s="569" t="s">
        <v>774</v>
      </c>
      <c r="I2" s="558"/>
      <c r="J2" s="558"/>
      <c r="K2" s="558"/>
      <c r="L2" s="558"/>
    </row>
    <row r="3" spans="1:25" s="479" customFormat="1" ht="15.75" customHeight="1">
      <c r="B3" s="1352" t="s">
        <v>437</v>
      </c>
      <c r="C3" s="1353"/>
      <c r="D3" s="1353"/>
      <c r="E3" s="1353"/>
      <c r="F3" s="1353"/>
      <c r="G3" s="1353"/>
      <c r="H3" s="1353"/>
      <c r="I3" s="1353"/>
      <c r="J3" s="1353"/>
      <c r="K3" s="1353"/>
      <c r="L3" s="1353"/>
      <c r="M3" s="570"/>
      <c r="N3" s="1352" t="s">
        <v>456</v>
      </c>
      <c r="O3" s="1353"/>
      <c r="P3" s="1353"/>
      <c r="Q3" s="1353"/>
      <c r="R3" s="1353"/>
      <c r="S3" s="1353"/>
      <c r="T3" s="1353"/>
      <c r="U3" s="1353"/>
      <c r="V3" s="1353"/>
      <c r="W3" s="1353"/>
      <c r="X3" s="1353"/>
    </row>
    <row r="4" spans="1:25" ht="11.15" customHeight="1">
      <c r="A4" s="559"/>
      <c r="B4" s="571"/>
      <c r="C4" s="1354" t="s">
        <v>586</v>
      </c>
      <c r="D4" s="1354"/>
      <c r="E4" s="1354"/>
      <c r="F4" s="1354"/>
      <c r="G4" s="572"/>
      <c r="H4" s="1355" t="s">
        <v>773</v>
      </c>
      <c r="I4" s="1355"/>
      <c r="J4" s="1355"/>
      <c r="K4" s="1355"/>
      <c r="L4" s="1355"/>
      <c r="M4" s="573"/>
      <c r="N4" s="574"/>
      <c r="O4" s="1354" t="s">
        <v>586</v>
      </c>
      <c r="P4" s="1354"/>
      <c r="Q4" s="1354"/>
      <c r="R4" s="1354"/>
      <c r="S4" s="572"/>
      <c r="T4" s="1355" t="s">
        <v>773</v>
      </c>
      <c r="U4" s="1355"/>
      <c r="V4" s="1355"/>
      <c r="W4" s="1355"/>
      <c r="X4" s="1355"/>
      <c r="Y4" s="479"/>
    </row>
    <row r="5" spans="1:25" s="479" customFormat="1" ht="27" customHeight="1">
      <c r="A5" s="559"/>
      <c r="B5" s="571"/>
      <c r="C5" s="1358" t="s">
        <v>770</v>
      </c>
      <c r="D5" s="1358"/>
      <c r="E5" s="1358"/>
      <c r="F5" s="1342" t="s">
        <v>771</v>
      </c>
      <c r="G5" s="572"/>
      <c r="H5" s="575"/>
      <c r="I5" s="1356" t="s">
        <v>778</v>
      </c>
      <c r="J5" s="575"/>
      <c r="K5" s="1354" t="s">
        <v>211</v>
      </c>
      <c r="L5" s="1354"/>
      <c r="M5" s="573"/>
      <c r="N5" s="574"/>
      <c r="O5" s="1358" t="s">
        <v>770</v>
      </c>
      <c r="P5" s="1358"/>
      <c r="Q5" s="1358"/>
      <c r="R5" s="1342" t="s">
        <v>771</v>
      </c>
      <c r="S5" s="572"/>
      <c r="T5" s="575"/>
      <c r="U5" s="1356" t="s">
        <v>778</v>
      </c>
      <c r="V5" s="575"/>
      <c r="W5" s="1354" t="s">
        <v>211</v>
      </c>
      <c r="X5" s="1354"/>
    </row>
    <row r="6" spans="1:25" ht="29.5" customHeight="1">
      <c r="A6" s="559"/>
      <c r="B6" s="576"/>
      <c r="C6" s="577" t="s">
        <v>429</v>
      </c>
      <c r="D6" s="578" t="s">
        <v>769</v>
      </c>
      <c r="E6" s="578" t="s">
        <v>772</v>
      </c>
      <c r="F6" s="1335"/>
      <c r="G6" s="579"/>
      <c r="H6" s="580" t="s">
        <v>429</v>
      </c>
      <c r="I6" s="1357"/>
      <c r="J6" s="581"/>
      <c r="K6" s="581" t="s">
        <v>587</v>
      </c>
      <c r="L6" s="581" t="s">
        <v>588</v>
      </c>
      <c r="M6" s="582"/>
      <c r="N6" s="583"/>
      <c r="O6" s="577" t="s">
        <v>429</v>
      </c>
      <c r="P6" s="578" t="s">
        <v>769</v>
      </c>
      <c r="Q6" s="578" t="s">
        <v>772</v>
      </c>
      <c r="R6" s="1335"/>
      <c r="S6" s="579"/>
      <c r="T6" s="580" t="s">
        <v>429</v>
      </c>
      <c r="U6" s="1357"/>
      <c r="V6" s="581"/>
      <c r="W6" s="581" t="s">
        <v>587</v>
      </c>
      <c r="X6" s="578" t="s">
        <v>588</v>
      </c>
    </row>
    <row r="7" spans="1:25">
      <c r="A7" s="559"/>
      <c r="B7" s="561" t="s">
        <v>775</v>
      </c>
      <c r="C7" s="559"/>
      <c r="D7" s="559"/>
      <c r="E7" s="559"/>
      <c r="F7" s="559"/>
      <c r="G7" s="559"/>
      <c r="H7" s="559"/>
      <c r="I7" s="559"/>
      <c r="J7" s="559"/>
      <c r="K7" s="559"/>
      <c r="L7" s="559"/>
    </row>
    <row r="8" spans="1:25">
      <c r="A8" s="559"/>
      <c r="B8" s="562" t="s">
        <v>0</v>
      </c>
      <c r="C8" s="586">
        <f>IF(ISNUMBER(INDEX(Database!$G$6:$G$197, MATCH($B8&amp;"USD bn", Database!$AD$6:$AD$197, 0))), INDEX(Database!$G$6:$G$197, MATCH($B8&amp;"USD bn", Database!$AD$6:$AD$197, 0)), "")</f>
        <v>249.72579708899613</v>
      </c>
      <c r="D8" s="568">
        <f>IF(ISNUMBER(INDEX(Database!$H$6:$H$197, MATCH($B8&amp;"USD bn", Database!$AD$6:$AD$197, 0))), INDEX(Database!$H$6:$H$197, MATCH($B8&amp;"USD bn", Database!$AD$6:$AD$197, 0)), "")</f>
        <v>13.808448829914081</v>
      </c>
      <c r="E8" s="568">
        <f>IF(ISNUMBER(INDEX(Database!$J$6:$J$197, MATCH($B8&amp;"USD bn", Database!$AD$6:$AD$197, 0))), INDEX(Database!$J$6:$J$197, MATCH($B8&amp;"USD bn", Database!$AD$6:$AD$197, 0)), "")</f>
        <v>235.91734825908208</v>
      </c>
      <c r="F8" s="568" t="str">
        <f>IF(ISNUMBER(INDEX(Database!$L$6:$L$197, MATCH($B8&amp;"USD bn", Database!$AD$6:$AD$197, 0))), INDEX(Database!$L$6:$L$197, MATCH($B8&amp;"USD bn", Database!$AD$6:$AD$197, 0)), "")</f>
        <v/>
      </c>
      <c r="G8" s="568"/>
      <c r="H8" s="586">
        <f>IF(ISNUMBER(INDEX(Database!$P$6:$P$197, MATCH($B8&amp;"USD bn", Database!$AD$6:$AD$197, 0))), INDEX(Database!$P$6:$P$197, MATCH($B8&amp;"USD bn", Database!$AD$6:$AD$197, 0)), "")</f>
        <v>24.164785452349641</v>
      </c>
      <c r="I8" s="568">
        <f>IF(ISNUMBER(INDEX(Database!$Q$6:$Q$197, MATCH($B8&amp;"USD bn", Database!$AD$6:$AD$197, 0))), INDEX(Database!$Q$6:$Q$197, MATCH($B8&amp;"USD bn", Database!$AD$6:$AD$197, 0)), "")</f>
        <v>10.356336622435562</v>
      </c>
      <c r="J8" s="568"/>
      <c r="K8" s="568">
        <f>IF(ISNUMBER(INDEX(Database!$U$6:$U$197, MATCH($B8&amp;"USD bn", Database!$AD$6:$AD$197, 0))), INDEX(Database!$U$6:$U$197, MATCH($B8&amp;"USD bn", Database!$AD$6:$AD$197, 0)), "")</f>
        <v>13.808448829914079</v>
      </c>
      <c r="L8" s="568" t="str">
        <f>IF(ISNUMBER(INDEX(Database!$W$6:$W$197, MATCH($B8&amp;"USD bn", Database!$AD$6:$AD$197, 0))), INDEX(Database!$W$6:$W$197, MATCH($B8&amp;"USD bn", Database!$AD$6:$AD$197, 0)), "")</f>
        <v/>
      </c>
      <c r="M8" s="376"/>
      <c r="N8" s="376"/>
      <c r="O8" s="587">
        <f>IF(ISNUMBER(INDEX(Database!$G$6:$G$197, MATCH($B8&amp;"% GDP", Database!$AD$6:$AD$197, 0))), INDEX(Database!$G$6:$G$197, MATCH($B8&amp;"% GDP", Database!$AD$6:$AD$197, 0)), "")</f>
        <v>18.370673152863606</v>
      </c>
      <c r="P8" s="564">
        <f>IF(ISNUMBER(INDEX(Database!$H$6:$H$197, MATCH($B8&amp;"% GDP", Database!$AD$6:$AD$197, 0))), INDEX(Database!$H$6:$H$197, MATCH($B8&amp;"% GDP", Database!$AD$6:$AD$197, 0)), "")</f>
        <v>1.0157961378415044</v>
      </c>
      <c r="Q8" s="564">
        <f>IF(ISNUMBER(INDEX(Database!$J$6:$J$197, MATCH($B8&amp;"% GDP", Database!$AD$6:$AD$197, 0))), INDEX(Database!$J$6:$J$197, MATCH($B8&amp;"% GDP", Database!$AD$6:$AD$197, 0)), "")</f>
        <v>17.354877015022101</v>
      </c>
      <c r="R8" s="564" t="str">
        <f>IF(ISNUMBER(INDEX(Database!$L$6:$L$197, MATCH($B8&amp;"% GDP", Database!$AD$6:$AD$197, 0))), INDEX(Database!$L$6:$L$197, MATCH($B8&amp;"% GDP", Database!$AD$6:$AD$197, 0)), "")</f>
        <v/>
      </c>
      <c r="S8" s="564"/>
      <c r="T8" s="587">
        <f>IF(ISNUMBER(INDEX(Database!$P$6:$P$197, MATCH($B8&amp;"% GDP", Database!$AD$6:$AD$197, 0))), INDEX(Database!$P$6:$P$197, MATCH($B8&amp;"% GDP", Database!$AD$6:$AD$197, 0)), "")</f>
        <v>1.7776432412226328</v>
      </c>
      <c r="U8" s="564">
        <f>IF(ISNUMBER(INDEX(Database!$Q$6:$Q$197, MATCH($B8&amp;"% GDP", Database!$AD$6:$AD$197, 0))), INDEX(Database!$Q$6:$Q$197, MATCH($B8&amp;"% GDP", Database!$AD$6:$AD$197, 0)), "")</f>
        <v>0.76184710338112827</v>
      </c>
      <c r="V8" s="564"/>
      <c r="W8" s="564">
        <f>IF(ISNUMBER(INDEX(Database!$U$6:$U$197, MATCH($B8&amp;"% GDP", Database!$AD$6:$AD$197, 0))), INDEX(Database!$U$6:$U$197, MATCH($B8&amp;"% GDP", Database!$AD$6:$AD$197, 0)), "")</f>
        <v>1.0157961378415044</v>
      </c>
      <c r="X8" s="564" t="str">
        <f>IF(ISNUMBER(INDEX(Database!$W$6:$W$197, MATCH($B8&amp;"% GDP", Database!$AD$6:$AD$197, 0))), INDEX(Database!$W$6:$W$197, MATCH($B8&amp;"% GDP", Database!$AD$6:$AD$197, 0)), "")</f>
        <v/>
      </c>
    </row>
    <row r="9" spans="1:25">
      <c r="A9" s="559"/>
      <c r="B9" s="562" t="s">
        <v>1</v>
      </c>
      <c r="C9" s="586">
        <f>IF(ISNUMBER(INDEX(Database!$G$6:$G$197, MATCH($B9&amp;"USD bn", Database!$AD$6:$AD$197, 0))), INDEX(Database!$G$6:$G$197, MATCH($B9&amp;"USD bn", Database!$AD$6:$AD$197, 0)), "")</f>
        <v>261.78973301959445</v>
      </c>
      <c r="D9" s="568">
        <f>IF(ISNUMBER(INDEX(Database!$H$6:$H$197, MATCH($B9&amp;"USD bn", Database!$AD$6:$AD$197, 0))), INDEX(Database!$H$6:$H$197, MATCH($B9&amp;"USD bn", Database!$AD$6:$AD$197, 0)), "")</f>
        <v>45.632388666474455</v>
      </c>
      <c r="E9" s="568">
        <f>IF(ISNUMBER(INDEX(Database!$J$6:$J$197, MATCH($B9&amp;"USD bn", Database!$AD$6:$AD$197, 0))), INDEX(Database!$J$6:$J$197, MATCH($B9&amp;"USD bn", Database!$AD$6:$AD$197, 0)), "")</f>
        <v>216.15734435311998</v>
      </c>
      <c r="F9" s="568">
        <f>IF(ISNUMBER(INDEX(Database!$L$6:$L$197, MATCH($B9&amp;"USD bn", Database!$AD$6:$AD$197, 0))), INDEX(Database!$L$6:$L$197, MATCH($B9&amp;"USD bn", Database!$AD$6:$AD$197, 0)), "")</f>
        <v>68.027303732528338</v>
      </c>
      <c r="G9" s="568"/>
      <c r="H9" s="586">
        <f>IF(ISNUMBER(INDEX(Database!$P$6:$P$197, MATCH($B9&amp;"USD bn", Database!$AD$6:$AD$197, 0))), INDEX(Database!$P$6:$P$197, MATCH($B9&amp;"USD bn", Database!$AD$6:$AD$197, 0)), "")</f>
        <v>64.944134850488979</v>
      </c>
      <c r="I9" s="568">
        <f>IF(ISNUMBER(INDEX(Database!$Q$6:$Q$197, MATCH($B9&amp;"USD bn", Database!$AD$6:$AD$197, 0))), INDEX(Database!$Q$6:$Q$197, MATCH($B9&amp;"USD bn", Database!$AD$6:$AD$197, 0)), "")</f>
        <v>3.8772617821187447</v>
      </c>
      <c r="J9" s="568"/>
      <c r="K9" s="568">
        <f>IF(ISNUMBER(INDEX(Database!$U$6:$U$197, MATCH($B9&amp;"USD bn", Database!$AD$6:$AD$197, 0))), INDEX(Database!$U$6:$U$197, MATCH($B9&amp;"USD bn", Database!$AD$6:$AD$197, 0)), "")</f>
        <v>61.066873068370228</v>
      </c>
      <c r="L9" s="568" t="str">
        <f>IF(ISNUMBER(INDEX(Database!$W$6:$W$197, MATCH($B9&amp;"USD bn", Database!$AD$6:$AD$197, 0))), INDEX(Database!$W$6:$W$197, MATCH($B9&amp;"USD bn", Database!$AD$6:$AD$197, 0)), "")</f>
        <v/>
      </c>
      <c r="M9" s="376"/>
      <c r="N9" s="376"/>
      <c r="O9" s="587">
        <f>IF(ISNUMBER(INDEX(Database!$G$6:$G$197, MATCH($B9&amp;"% GDP", Database!$AD$6:$AD$197, 0))), INDEX(Database!$G$6:$G$197, MATCH($B9&amp;"% GDP", Database!$AD$6:$AD$197, 0)), "")</f>
        <v>15.923588544631171</v>
      </c>
      <c r="P9" s="564">
        <f>IF(ISNUMBER(INDEX(Database!$H$6:$H$197, MATCH($B9&amp;"% GDP", Database!$AD$6:$AD$197, 0))), INDEX(Database!$H$6:$H$197, MATCH($B9&amp;"% GDP", Database!$AD$6:$AD$197, 0)), "")</f>
        <v>2.77562978903853</v>
      </c>
      <c r="Q9" s="564">
        <f>IF(ISNUMBER(INDEX(Database!$J$6:$J$197, MATCH($B9&amp;"% GDP", Database!$AD$6:$AD$197, 0))), INDEX(Database!$J$6:$J$197, MATCH($B9&amp;"% GDP", Database!$AD$6:$AD$197, 0)), "")</f>
        <v>13.147958755592642</v>
      </c>
      <c r="R9" s="564">
        <f>IF(ISNUMBER(INDEX(Database!$L$6:$L$197, MATCH($B9&amp;"% GDP", Database!$AD$6:$AD$197, 0))), INDEX(Database!$L$6:$L$197, MATCH($B9&amp;"% GDP", Database!$AD$6:$AD$197, 0)), "")</f>
        <v>3.8595767164571715</v>
      </c>
      <c r="S9" s="564"/>
      <c r="T9" s="587">
        <f>IF(ISNUMBER(INDEX(Database!$P$6:$P$197, MATCH($B9&amp;"% GDP", Database!$AD$6:$AD$197, 0))), INDEX(Database!$P$6:$P$197, MATCH($B9&amp;"% GDP", Database!$AD$6:$AD$197, 0)), "")</f>
        <v>3.9502835723081042</v>
      </c>
      <c r="U9" s="564">
        <f>IF(ISNUMBER(INDEX(Database!$Q$6:$Q$197, MATCH($B9&amp;"% GDP", Database!$AD$6:$AD$197, 0))), INDEX(Database!$Q$6:$Q$197, MATCH($B9&amp;"% GDP", Database!$AD$6:$AD$197, 0)), "")</f>
        <v>0.23583782521242411</v>
      </c>
      <c r="V9" s="564"/>
      <c r="W9" s="564">
        <f>IF(ISNUMBER(INDEX(Database!$U$6:$U$197, MATCH($B9&amp;"% GDP", Database!$AD$6:$AD$197, 0))), INDEX(Database!$U$6:$U$197, MATCH($B9&amp;"% GDP", Database!$AD$6:$AD$197, 0)), "")</f>
        <v>3.71444574709568</v>
      </c>
      <c r="X9" s="564" t="str">
        <f>IF(ISNUMBER(INDEX(Database!$W$6:$W$197, MATCH($B9&amp;"% GDP", Database!$AD$6:$AD$197, 0))), INDEX(Database!$W$6:$W$197, MATCH($B9&amp;"% GDP", Database!$AD$6:$AD$197, 0)), "")</f>
        <v/>
      </c>
    </row>
    <row r="10" spans="1:25">
      <c r="A10" s="559"/>
      <c r="B10" s="562" t="s">
        <v>430</v>
      </c>
      <c r="C10" s="586">
        <f>IF(ISNUMBER(INDEX(Database!$G$6:$G$197, MATCH($B10&amp;"USD bn", Database!$AD$6:$AD$197, 0))), INDEX(Database!$G$6:$G$197, MATCH($B10&amp;"USD bn", Database!$AD$6:$AD$197, 0)), "")</f>
        <v>488.29744352478542</v>
      </c>
      <c r="D10" s="568">
        <f>IF(ISNUMBER(INDEX(Database!$H$6:$H$197, MATCH($B10&amp;"USD bn", Database!$AD$6:$AD$197, 0))), INDEX(Database!$H$6:$H$197, MATCH($B10&amp;"USD bn", Database!$AD$6:$AD$197, 0)), "")</f>
        <v>5.706409296772063E-2</v>
      </c>
      <c r="E10" s="568">
        <f>IF(ISNUMBER(INDEX(Database!$J$6:$J$197, MATCH($B10&amp;"USD bn", Database!$AD$6:$AD$197, 0))), INDEX(Database!$J$6:$J$197, MATCH($B10&amp;"USD bn", Database!$AD$6:$AD$197, 0)), "")</f>
        <v>488.2403794318177</v>
      </c>
      <c r="F10" s="568" t="str">
        <f>IF(ISNUMBER(INDEX(Database!$L$6:$L$197, MATCH($B10&amp;"USD bn", Database!$AD$6:$AD$197, 0))), INDEX(Database!$L$6:$L$197, MATCH($B10&amp;"USD bn", Database!$AD$6:$AD$197, 0)), "")</f>
        <v/>
      </c>
      <c r="G10" s="568"/>
      <c r="H10" s="586">
        <f>IF(ISNUMBER(INDEX(Database!$P$6:$P$197, MATCH($B10&amp;"USD bn", Database!$AD$6:$AD$197, 0))), INDEX(Database!$P$6:$P$197, MATCH($B10&amp;"USD bn", Database!$AD$6:$AD$197, 0)), "")</f>
        <v>873.0806224061256</v>
      </c>
      <c r="I10" s="568">
        <f>IF(ISNUMBER(INDEX(Database!$Q$6:$Q$197, MATCH($B10&amp;"USD bn", Database!$AD$6:$AD$197, 0))), INDEX(Database!$Q$6:$Q$197, MATCH($B10&amp;"USD bn", Database!$AD$6:$AD$197, 0)), "")</f>
        <v>798.89730154808876</v>
      </c>
      <c r="J10" s="568"/>
      <c r="K10" s="568">
        <f>IF(ISNUMBER(INDEX(Database!$U$6:$U$197, MATCH($B10&amp;"USD bn", Database!$AD$6:$AD$197, 0))), INDEX(Database!$U$6:$U$197, MATCH($B10&amp;"USD bn", Database!$AD$6:$AD$197, 0)), "")</f>
        <v>74.183320858036808</v>
      </c>
      <c r="L10" s="568" t="str">
        <f>IF(ISNUMBER(INDEX(Database!$W$6:$W$197, MATCH($B10&amp;"USD bn", Database!$AD$6:$AD$197, 0))), INDEX(Database!$W$6:$W$197, MATCH($B10&amp;"USD bn", Database!$AD$6:$AD$197, 0)), "")</f>
        <v/>
      </c>
      <c r="M10" s="376"/>
      <c r="N10" s="376"/>
      <c r="O10" s="587">
        <f>IF(ISNUMBER(INDEX(Database!$G$6:$G$197, MATCH($B10&amp;"% GDP", Database!$AD$6:$AD$197, 0))), INDEX(Database!$G$6:$G$197, MATCH($B10&amp;"% GDP", Database!$AD$6:$AD$197, 0)), "")</f>
        <v>3.7559632555567588</v>
      </c>
      <c r="P10" s="564">
        <f>IF(ISNUMBER(INDEX(Database!$H$6:$H$197, MATCH($B10&amp;"% GDP", Database!$AD$6:$AD$197, 0))), INDEX(Database!$H$6:$H$197, MATCH($B10&amp;"% GDP", Database!$AD$6:$AD$197, 0)), "")</f>
        <v>4.3893458636867576E-4</v>
      </c>
      <c r="Q10" s="564">
        <f>IF(ISNUMBER(INDEX(Database!$J$6:$J$197, MATCH($B10&amp;"% GDP", Database!$AD$6:$AD$197, 0))), INDEX(Database!$J$6:$J$197, MATCH($B10&amp;"% GDP", Database!$AD$6:$AD$197, 0)), "")</f>
        <v>3.7555243209703901</v>
      </c>
      <c r="R10" s="564" t="str">
        <f>IF(ISNUMBER(INDEX(Database!$L$6:$L$197, MATCH($B10&amp;"% GDP", Database!$AD$6:$AD$197, 0))), INDEX(Database!$L$6:$L$197, MATCH($B10&amp;"% GDP", Database!$AD$6:$AD$197, 0)), "")</f>
        <v/>
      </c>
      <c r="S10" s="564"/>
      <c r="T10" s="587">
        <f>IF(ISNUMBER(INDEX(Database!$P$6:$P$197, MATCH($B10&amp;"% GDP", Database!$AD$6:$AD$197, 0))), INDEX(Database!$P$6:$P$197, MATCH($B10&amp;"% GDP", Database!$AD$6:$AD$197, 0)), "")</f>
        <v>6.7156991714407397</v>
      </c>
      <c r="U10" s="564">
        <f>IF(ISNUMBER(INDEX(Database!$Q$6:$Q$197, MATCH($B10&amp;"% GDP", Database!$AD$6:$AD$197, 0))), INDEX(Database!$Q$6:$Q$197, MATCH($B10&amp;"% GDP", Database!$AD$6:$AD$197, 0)), "")</f>
        <v>6.1450842091614613</v>
      </c>
      <c r="V10" s="564"/>
      <c r="W10" s="564">
        <f>IF(ISNUMBER(INDEX(Database!$U$6:$U$197, MATCH($B10&amp;"% GDP", Database!$AD$6:$AD$197, 0))), INDEX(Database!$U$6:$U$197, MATCH($B10&amp;"% GDP", Database!$AD$6:$AD$197, 0)), "")</f>
        <v>0.57061496227927855</v>
      </c>
      <c r="X10" s="564" t="str">
        <f>IF(ISNUMBER(INDEX(Database!$W$6:$W$197, MATCH($B10&amp;"% GDP", Database!$AD$6:$AD$197, 0))), INDEX(Database!$W$6:$W$197, MATCH($B10&amp;"% GDP", Database!$AD$6:$AD$197, 0)), "")</f>
        <v/>
      </c>
    </row>
    <row r="11" spans="1:25" s="479" customFormat="1">
      <c r="A11" s="559"/>
      <c r="B11" s="562" t="s">
        <v>2</v>
      </c>
      <c r="C11" s="586">
        <f>IF(ISNUMBER(INDEX(Database!$G$6:$G$197, MATCH($B11&amp;"USD bn", Database!$AD$6:$AD$197, 0))), INDEX(Database!$G$6:$G$197, MATCH($B11&amp;"USD bn", Database!$AD$6:$AD$197, 0)), "")</f>
        <v>252.88463784604201</v>
      </c>
      <c r="D11" s="568">
        <f>IF(ISNUMBER(INDEX(Database!$H$6:$H$197, MATCH($B11&amp;"USD bn", Database!$AD$6:$AD$197, 0))), INDEX(Database!$H$6:$H$197, MATCH($B11&amp;"USD bn", Database!$AD$6:$AD$197, 0)), "")</f>
        <v>38.633570180174964</v>
      </c>
      <c r="E11" s="568">
        <f>IF(ISNUMBER(INDEX(Database!$J$6:$J$197, MATCH($B11&amp;"USD bn", Database!$AD$6:$AD$197, 0))), INDEX(Database!$J$6:$J$197, MATCH($B11&amp;"USD bn", Database!$AD$6:$AD$197, 0)), "")</f>
        <v>214.25106766586705</v>
      </c>
      <c r="F11" s="568">
        <f>IF(ISNUMBER(INDEX(Database!$L$6:$L$197, MATCH($B11&amp;"USD bn", Database!$AD$6:$AD$197, 0))), INDEX(Database!$L$6:$L$197, MATCH($B11&amp;"USD bn", Database!$AD$6:$AD$197, 0)), "")</f>
        <v>79.204517036051911</v>
      </c>
      <c r="G11" s="568"/>
      <c r="H11" s="586">
        <f>IF(ISNUMBER(INDEX(Database!$P$6:$P$197, MATCH($B11&amp;"USD bn", Database!$AD$6:$AD$197, 0))), INDEX(Database!$P$6:$P$197, MATCH($B11&amp;"USD bn", Database!$AD$6:$AD$197, 0)), "")</f>
        <v>399.21355852847461</v>
      </c>
      <c r="I11" s="568">
        <f>IF(ISNUMBER(INDEX(Database!$Q$6:$Q$197, MATCH($B11&amp;"USD bn", Database!$AD$6:$AD$197, 0))), INDEX(Database!$Q$6:$Q$197, MATCH($B11&amp;"USD bn", Database!$AD$6:$AD$197, 0)), "")</f>
        <v>18.006206750642018</v>
      </c>
      <c r="J11" s="568"/>
      <c r="K11" s="568">
        <f>IF(ISNUMBER(INDEX(Database!$U$6:$U$197, MATCH($B11&amp;"USD bn", Database!$AD$6:$AD$197, 0))), INDEX(Database!$U$6:$U$197, MATCH($B11&amp;"USD bn", Database!$AD$6:$AD$197, 0)), "")</f>
        <v>381.20735177783257</v>
      </c>
      <c r="L11" s="568" t="str">
        <f>IF(ISNUMBER(INDEX(Database!$W$6:$W$197, MATCH($B11&amp;"USD bn", Database!$AD$6:$AD$197, 0))), INDEX(Database!$W$6:$W$197, MATCH($B11&amp;"USD bn", Database!$AD$6:$AD$197, 0)), "")</f>
        <v/>
      </c>
      <c r="M11" s="376"/>
      <c r="N11" s="376"/>
      <c r="O11" s="587">
        <f>IF(ISNUMBER(INDEX(Database!$G$6:$G$197, MATCH($B11&amp;"% GDP", Database!$AD$6:$AD$197, 0))), INDEX(Database!$G$6:$G$197, MATCH($B11&amp;"% GDP", Database!$AD$6:$AD$197, 0)), "")</f>
        <v>9.6358441242628725</v>
      </c>
      <c r="P11" s="564">
        <f>IF(ISNUMBER(INDEX(Database!$H$6:$H$197, MATCH($B11&amp;"% GDP", Database!$AD$6:$AD$197, 0))), INDEX(Database!$H$6:$H$197, MATCH($B11&amp;"% GDP", Database!$AD$6:$AD$197, 0)), "")</f>
        <v>1.4720825408405198</v>
      </c>
      <c r="Q11" s="564">
        <f>IF(ISNUMBER(INDEX(Database!$J$6:$J$197, MATCH($B11&amp;"% GDP", Database!$AD$6:$AD$197, 0))), INDEX(Database!$J$6:$J$197, MATCH($B11&amp;"% GDP", Database!$AD$6:$AD$197, 0)), "")</f>
        <v>8.1637615834223514</v>
      </c>
      <c r="R11" s="564">
        <f>IF(ISNUMBER(INDEX(Database!$L$6:$L$197, MATCH($B11&amp;"% GDP", Database!$AD$6:$AD$197, 0))), INDEX(Database!$L$6:$L$197, MATCH($B11&amp;"% GDP", Database!$AD$6:$AD$197, 0)), "")</f>
        <v>3.017986330041774</v>
      </c>
      <c r="S11" s="564"/>
      <c r="T11" s="587">
        <f>IF(ISNUMBER(INDEX(Database!$P$6:$P$197, MATCH($B11&amp;"% GDP", Database!$AD$6:$AD$197, 0))), INDEX(Database!$P$6:$P$197, MATCH($B11&amp;"% GDP", Database!$AD$6:$AD$197, 0)), "")</f>
        <v>15.211519588685375</v>
      </c>
      <c r="U11" s="564">
        <f>IF(ISNUMBER(INDEX(Database!$Q$6:$Q$197, MATCH($B11&amp;"% GDP", Database!$AD$6:$AD$197, 0))), INDEX(Database!$Q$6:$Q$197, MATCH($B11&amp;"% GDP", Database!$AD$6:$AD$197, 0)), "")</f>
        <v>0.68610336711741049</v>
      </c>
      <c r="V11" s="564"/>
      <c r="W11" s="564">
        <f>IF(ISNUMBER(INDEX(Database!$U$6:$U$197, MATCH($B11&amp;"% GDP", Database!$AD$6:$AD$197, 0))), INDEX(Database!$U$6:$U$197, MATCH($B11&amp;"% GDP", Database!$AD$6:$AD$197, 0)), "")</f>
        <v>14.525416221567964</v>
      </c>
      <c r="X11" s="564" t="str">
        <f>IF(ISNUMBER(INDEX(Database!$W$6:$W$197, MATCH($B11&amp;"% GDP", Database!$AD$6:$AD$197, 0))), INDEX(Database!$W$6:$W$197, MATCH($B11&amp;"% GDP", Database!$AD$6:$AD$197, 0)), "")</f>
        <v/>
      </c>
    </row>
    <row r="12" spans="1:25" s="479" customFormat="1">
      <c r="A12" s="559"/>
      <c r="B12" s="562" t="s">
        <v>3</v>
      </c>
      <c r="C12" s="586">
        <f>IF(ISNUMBER(INDEX(Database!$G$6:$G$197, MATCH($B12&amp;"USD bn", Database!$AD$6:$AD$197, 0))), INDEX(Database!$G$6:$G$197, MATCH($B12&amp;"USD bn", Database!$AD$6:$AD$197, 0)), "")</f>
        <v>588.90143942687689</v>
      </c>
      <c r="D12" s="568">
        <f>IF(ISNUMBER(INDEX(Database!$H$6:$H$197, MATCH($B12&amp;"USD bn", Database!$AD$6:$AD$197, 0))), INDEX(Database!$H$6:$H$197, MATCH($B12&amp;"USD bn", Database!$AD$6:$AD$197, 0)), "")</f>
        <v>69.618193420619164</v>
      </c>
      <c r="E12" s="568">
        <f>IF(ISNUMBER(INDEX(Database!$J$6:$J$197, MATCH($B12&amp;"USD bn", Database!$AD$6:$AD$197, 0))), INDEX(Database!$J$6:$J$197, MATCH($B12&amp;"USD bn", Database!$AD$6:$AD$197, 0)), "")</f>
        <v>519.28324600625774</v>
      </c>
      <c r="F12" s="568" t="str">
        <f>IF(ISNUMBER(INDEX(Database!$L$6:$L$197, MATCH($B12&amp;"USD bn", Database!$AD$6:$AD$197, 0))), INDEX(Database!$L$6:$L$197, MATCH($B12&amp;"USD bn", Database!$AD$6:$AD$197, 0)), "")</f>
        <v/>
      </c>
      <c r="G12" s="568"/>
      <c r="H12" s="586">
        <f>IF(ISNUMBER(INDEX(Database!$P$6:$P$197, MATCH($B12&amp;"USD bn", Database!$AD$6:$AD$197, 0))), INDEX(Database!$P$6:$P$197, MATCH($B12&amp;"USD bn", Database!$AD$6:$AD$197, 0)), "")</f>
        <v>1057.9682836215404</v>
      </c>
      <c r="I12" s="568">
        <f>IF(ISNUMBER(INDEX(Database!$Q$6:$Q$197, MATCH($B12&amp;"USD bn", Database!$AD$6:$AD$197, 0))), INDEX(Database!$Q$6:$Q$197, MATCH($B12&amp;"USD bn", Database!$AD$6:$AD$197, 0)), "")</f>
        <v>114.12818593544125</v>
      </c>
      <c r="J12" s="568"/>
      <c r="K12" s="568">
        <f>IF(ISNUMBER(INDEX(Database!$U$6:$U$197, MATCH($B12&amp;"USD bn", Database!$AD$6:$AD$197, 0))), INDEX(Database!$U$6:$U$197, MATCH($B12&amp;"USD bn", Database!$AD$6:$AD$197, 0)), "")</f>
        <v>943.84009768609917</v>
      </c>
      <c r="L12" s="568" t="str">
        <f>IF(ISNUMBER(INDEX(Database!$W$6:$W$197, MATCH($B12&amp;"USD bn", Database!$AD$6:$AD$197, 0))), INDEX(Database!$W$6:$W$197, MATCH($B12&amp;"USD bn", Database!$AD$6:$AD$197, 0)), "")</f>
        <v/>
      </c>
      <c r="M12" s="376"/>
      <c r="N12" s="376"/>
      <c r="O12" s="587">
        <f>IF(ISNUMBER(INDEX(Database!$G$6:$G$197, MATCH($B12&amp;"% GDP", Database!$AD$6:$AD$197, 0))), INDEX(Database!$G$6:$G$197, MATCH($B12&amp;"% GDP", Database!$AD$6:$AD$197, 0)), "")</f>
        <v>15.322666856715248</v>
      </c>
      <c r="P12" s="564">
        <f>IF(ISNUMBER(INDEX(Database!$H$6:$H$197, MATCH($B12&amp;"% GDP", Database!$AD$6:$AD$197, 0))), INDEX(Database!$H$6:$H$197, MATCH($B12&amp;"% GDP", Database!$AD$6:$AD$197, 0)), "")</f>
        <v>1.8114005392628492</v>
      </c>
      <c r="Q12" s="564">
        <f>IF(ISNUMBER(INDEX(Database!$J$6:$J$197, MATCH($B12&amp;"% GDP", Database!$AD$6:$AD$197, 0))), INDEX(Database!$J$6:$J$197, MATCH($B12&amp;"% GDP", Database!$AD$6:$AD$197, 0)), "")</f>
        <v>13.638352846668944</v>
      </c>
      <c r="R12" s="564" t="str">
        <f>IF(ISNUMBER(INDEX(Database!$L$6:$L$197, MATCH($B12&amp;"% GDP", Database!$AD$6:$AD$197, 0))), INDEX(Database!$L$6:$L$197, MATCH($B12&amp;"% GDP", Database!$AD$6:$AD$197, 0)), "")</f>
        <v/>
      </c>
      <c r="S12" s="564"/>
      <c r="T12" s="587">
        <f>IF(ISNUMBER(INDEX(Database!$P$6:$P$197, MATCH($B12&amp;"% GDP", Database!$AD$6:$AD$197, 0))), INDEX(Database!$P$6:$P$197, MATCH($B12&amp;"% GDP", Database!$AD$6:$AD$197, 0)), "")</f>
        <v>27.786270524971673</v>
      </c>
      <c r="U12" s="564">
        <f>IF(ISNUMBER(INDEX(Database!$Q$6:$Q$197, MATCH($B12&amp;"% GDP", Database!$AD$6:$AD$197, 0))), INDEX(Database!$Q$6:$Q$197, MATCH($B12&amp;"% GDP", Database!$AD$6:$AD$197, 0)), "")</f>
        <v>2.9974401860810866</v>
      </c>
      <c r="V12" s="564"/>
      <c r="W12" s="564">
        <f>IF(ISNUMBER(INDEX(Database!$U$6:$U$197, MATCH($B12&amp;"% GDP", Database!$AD$6:$AD$197, 0))), INDEX(Database!$U$6:$U$197, MATCH($B12&amp;"% GDP", Database!$AD$6:$AD$197, 0)), "")</f>
        <v>24.788830338890588</v>
      </c>
      <c r="X12" s="564" t="str">
        <f>IF(ISNUMBER(INDEX(Database!$W$6:$W$197, MATCH($B12&amp;"% GDP", Database!$AD$6:$AD$197, 0))), INDEX(Database!$W$6:$W$197, MATCH($B12&amp;"% GDP", Database!$AD$6:$AD$197, 0)), "")</f>
        <v/>
      </c>
    </row>
    <row r="13" spans="1:25" s="479" customFormat="1">
      <c r="A13" s="559"/>
      <c r="B13" s="562" t="s">
        <v>4</v>
      </c>
      <c r="C13" s="586">
        <f>IF(ISNUMBER(INDEX(Database!$G$6:$G$197, MATCH($B13&amp;"USD bn", Database!$AD$6:$AD$197, 0))), INDEX(Database!$G$6:$G$197, MATCH($B13&amp;"USD bn", Database!$AD$6:$AD$197, 0)), "")</f>
        <v>205.43073468379424</v>
      </c>
      <c r="D13" s="568">
        <f>IF(ISNUMBER(INDEX(Database!$H$6:$H$197, MATCH($B13&amp;"USD bn", Database!$AD$6:$AD$197, 0))), INDEX(Database!$H$6:$H$197, MATCH($B13&amp;"USD bn", Database!$AD$6:$AD$197, 0)), "")</f>
        <v>22.825637187088251</v>
      </c>
      <c r="E13" s="568">
        <f>IF(ISNUMBER(INDEX(Database!$J$6:$J$197, MATCH($B13&amp;"USD bn", Database!$AD$6:$AD$197, 0))), INDEX(Database!$J$6:$J$197, MATCH($B13&amp;"USD bn", Database!$AD$6:$AD$197, 0)), "")</f>
        <v>182.60509749670601</v>
      </c>
      <c r="F13" s="568">
        <f>IF(ISNUMBER(INDEX(Database!$L$6:$L$197, MATCH($B13&amp;"USD bn", Database!$AD$6:$AD$197, 0))), INDEX(Database!$L$6:$L$197, MATCH($B13&amp;"USD bn", Database!$AD$6:$AD$197, 0)), "")</f>
        <v>7.9889730154808873</v>
      </c>
      <c r="G13" s="568"/>
      <c r="H13" s="586">
        <f>IF(ISNUMBER(INDEX(Database!$P$6:$P$197, MATCH($B13&amp;"USD bn", Database!$AD$6:$AD$197, 0))), INDEX(Database!$P$6:$P$197, MATCH($B13&amp;"USD bn", Database!$AD$6:$AD$197, 0)), "")</f>
        <v>664.51136260910664</v>
      </c>
      <c r="I13" s="568">
        <f>IF(ISNUMBER(INDEX(Database!$Q$6:$Q$197, MATCH($B13&amp;"USD bn", Database!$AD$6:$AD$197, 0))), INDEX(Database!$Q$6:$Q$197, MATCH($B13&amp;"USD bn", Database!$AD$6:$AD$197, 0)), "")</f>
        <v>3.7091660429018405</v>
      </c>
      <c r="J13" s="568"/>
      <c r="K13" s="568">
        <f>IF(ISNUMBER(INDEX(Database!$U$6:$U$197, MATCH($B13&amp;"USD bn", Database!$AD$6:$AD$197, 0))), INDEX(Database!$U$6:$U$197, MATCH($B13&amp;"USD bn", Database!$AD$6:$AD$197, 0)), "")</f>
        <v>660.80219656620488</v>
      </c>
      <c r="L13" s="568" t="str">
        <f>IF(ISNUMBER(INDEX(Database!$W$6:$W$197, MATCH($B13&amp;"USD bn", Database!$AD$6:$AD$197, 0))), INDEX(Database!$W$6:$W$197, MATCH($B13&amp;"USD bn", Database!$AD$6:$AD$197, 0)), "")</f>
        <v/>
      </c>
      <c r="M13" s="376"/>
      <c r="N13" s="376"/>
      <c r="O13" s="587">
        <f>IF(ISNUMBER(INDEX(Database!$G$6:$G$197, MATCH($B13&amp;"% GDP", Database!$AD$6:$AD$197, 0))), INDEX(Database!$G$6:$G$197, MATCH($B13&amp;"% GDP", Database!$AD$6:$AD$197, 0)), "")</f>
        <v>10.898555638640223</v>
      </c>
      <c r="P13" s="564">
        <f>IF(ISNUMBER(INDEX(Database!$H$6:$H$197, MATCH($B13&amp;"% GDP", Database!$AD$6:$AD$197, 0))), INDEX(Database!$H$6:$H$197, MATCH($B13&amp;"% GDP", Database!$AD$6:$AD$197, 0)), "")</f>
        <v>1.2109506265155805</v>
      </c>
      <c r="Q13" s="564">
        <f>IF(ISNUMBER(INDEX(Database!$J$6:$J$197, MATCH($B13&amp;"% GDP", Database!$AD$6:$AD$197, 0))), INDEX(Database!$J$6:$J$197, MATCH($B13&amp;"% GDP", Database!$AD$6:$AD$197, 0)), "")</f>
        <v>9.687605012124644</v>
      </c>
      <c r="R13" s="564">
        <f>IF(ISNUMBER(INDEX(Database!$L$6:$L$197, MATCH($B13&amp;"% GDP", Database!$AD$6:$AD$197, 0))), INDEX(Database!$L$6:$L$197, MATCH($B13&amp;"% GDP", Database!$AD$6:$AD$197, 0)), "")</f>
        <v>0.42383271928045313</v>
      </c>
      <c r="S13" s="564"/>
      <c r="T13" s="587">
        <f>IF(ISNUMBER(INDEX(Database!$P$6:$P$197, MATCH($B13&amp;"% GDP", Database!$AD$6:$AD$197, 0))), INDEX(Database!$P$6:$P$197, MATCH($B13&amp;"% GDP", Database!$AD$6:$AD$197, 0)), "")</f>
        <v>35.253800114434839</v>
      </c>
      <c r="U13" s="564">
        <f>IF(ISNUMBER(INDEX(Database!$Q$6:$Q$197, MATCH($B13&amp;"% GDP", Database!$AD$6:$AD$197, 0))), INDEX(Database!$Q$6:$Q$197, MATCH($B13&amp;"% GDP", Database!$AD$6:$AD$197, 0)), "")</f>
        <v>0.19677947680878183</v>
      </c>
      <c r="V13" s="564"/>
      <c r="W13" s="564">
        <f>IF(ISNUMBER(INDEX(Database!$U$6:$U$197, MATCH($B13&amp;"% GDP", Database!$AD$6:$AD$197, 0))), INDEX(Database!$U$6:$U$197, MATCH($B13&amp;"% GDP", Database!$AD$6:$AD$197, 0)), "")</f>
        <v>35.057020637626053</v>
      </c>
      <c r="X13" s="564" t="str">
        <f>IF(ISNUMBER(INDEX(Database!$W$6:$W$197, MATCH($B13&amp;"% GDP", Database!$AD$6:$AD$197, 0))), INDEX(Database!$W$6:$W$197, MATCH($B13&amp;"% GDP", Database!$AD$6:$AD$197, 0)), "")</f>
        <v/>
      </c>
    </row>
    <row r="14" spans="1:25" s="479" customFormat="1">
      <c r="A14" s="559"/>
      <c r="B14" s="562" t="s">
        <v>5</v>
      </c>
      <c r="C14" s="586">
        <f>IF(ISNUMBER(INDEX(Database!$G$6:$G$197, MATCH($B14&amp;"USD bn", Database!$AD$6:$AD$197, 0))), INDEX(Database!$G$6:$G$197, MATCH($B14&amp;"USD bn", Database!$AD$6:$AD$197, 0)), "")</f>
        <v>843.8337860086101</v>
      </c>
      <c r="D14" s="568">
        <f>IF(ISNUMBER(INDEX(Database!$H$6:$H$197, MATCH($B14&amp;"USD bn", Database!$AD$6:$AD$197, 0))), INDEX(Database!$H$6:$H$197, MATCH($B14&amp;"USD bn", Database!$AD$6:$AD$197, 0)), "")</f>
        <v>104.89387795001592</v>
      </c>
      <c r="E14" s="568">
        <f>IF(ISNUMBER(INDEX(Database!$J$6:$J$197, MATCH($B14&amp;"USD bn", Database!$AD$6:$AD$197, 0))), INDEX(Database!$J$6:$J$197, MATCH($B14&amp;"USD bn", Database!$AD$6:$AD$197, 0)), "")</f>
        <v>738.93990805859426</v>
      </c>
      <c r="F14" s="568">
        <f>IF(ISNUMBER(INDEX(Database!$L$6:$L$197, MATCH($B14&amp;"USD bn", Database!$AD$6:$AD$197, 0))), INDEX(Database!$L$6:$L$197, MATCH($B14&amp;"USD bn", Database!$AD$6:$AD$197, 0)), "")</f>
        <v>27.16002196920055</v>
      </c>
      <c r="G14" s="568"/>
      <c r="H14" s="586">
        <f>IF(ISNUMBER(INDEX(Database!$P$6:$P$197, MATCH($B14&amp;"USD bn", Database!$AD$6:$AD$197, 0))), INDEX(Database!$P$6:$P$197, MATCH($B14&amp;"USD bn", Database!$AD$6:$AD$197, 0)), "")</f>
        <v>1429.1790870689667</v>
      </c>
      <c r="I14" s="568" t="str">
        <f>IF(ISNUMBER(INDEX(Database!$Q$6:$Q$197, MATCH($B14&amp;"USD bn", Database!$AD$6:$AD$197, 0))), INDEX(Database!$Q$6:$Q$197, MATCH($B14&amp;"USD bn", Database!$AD$6:$AD$197, 0)), "")</f>
        <v/>
      </c>
      <c r="J14" s="568"/>
      <c r="K14" s="568">
        <f>IF(ISNUMBER(INDEX(Database!$U$6:$U$197, MATCH($B14&amp;"USD bn", Database!$AD$6:$AD$197, 0))), INDEX(Database!$U$6:$U$197, MATCH($B14&amp;"USD bn", Database!$AD$6:$AD$197, 0)), "")</f>
        <v>147.0387396263616</v>
      </c>
      <c r="L14" s="568">
        <f>IF(ISNUMBER(INDEX(Database!$W$6:$W$197, MATCH($B14&amp;"USD bn", Database!$AD$6:$AD$197, 0))), INDEX(Database!$W$6:$W$197, MATCH($B14&amp;"USD bn", Database!$AD$6:$AD$197, 0)), "")</f>
        <v>1282.1403474426052</v>
      </c>
      <c r="M14" s="376"/>
      <c r="N14" s="376"/>
      <c r="O14" s="587">
        <f>IF(ISNUMBER(INDEX(Database!$G$6:$G$197, MATCH($B14&amp;"% GDP", Database!$AD$6:$AD$197, 0))), INDEX(Database!$G$6:$G$197, MATCH($B14&amp;"% GDP", Database!$AD$6:$AD$197, 0)), "")</f>
        <v>16.725807215115971</v>
      </c>
      <c r="P14" s="564">
        <f>IF(ISNUMBER(INDEX(Database!$H$6:$H$197, MATCH($B14&amp;"% GDP", Database!$AD$6:$AD$197, 0))), INDEX(Database!$H$6:$H$197, MATCH($B14&amp;"% GDP", Database!$AD$6:$AD$197, 0)), "")</f>
        <v>2.0791236493817857</v>
      </c>
      <c r="Q14" s="564">
        <f>IF(ISNUMBER(INDEX(Database!$J$6:$J$197, MATCH($B14&amp;"% GDP", Database!$AD$6:$AD$197, 0))), INDEX(Database!$J$6:$J$197, MATCH($B14&amp;"% GDP", Database!$AD$6:$AD$197, 0)), "")</f>
        <v>14.646683565734186</v>
      </c>
      <c r="R14" s="564">
        <f>IF(ISNUMBER(INDEX(Database!$L$6:$L$197, MATCH($B14&amp;"% GDP", Database!$AD$6:$AD$197, 0))), INDEX(Database!$L$6:$L$197, MATCH($B14&amp;"% GDP", Database!$AD$6:$AD$197, 0)), "")</f>
        <v>0.5383445163577838</v>
      </c>
      <c r="S14" s="564"/>
      <c r="T14" s="587">
        <f>IF(ISNUMBER(INDEX(Database!$P$6:$P$197, MATCH($B14&amp;"% GDP", Database!$AD$6:$AD$197, 0))), INDEX(Database!$P$6:$P$197, MATCH($B14&amp;"% GDP", Database!$AD$6:$AD$197, 0)), "")</f>
        <v>28.328059722826826</v>
      </c>
      <c r="U14" s="564" t="str">
        <f>IF(ISNUMBER(INDEX(Database!$Q$6:$Q$197, MATCH($B14&amp;"% GDP", Database!$AD$6:$AD$197, 0))), INDEX(Database!$Q$6:$Q$197, MATCH($B14&amp;"% GDP", Database!$AD$6:$AD$197, 0)), "")</f>
        <v/>
      </c>
      <c r="V14" s="564"/>
      <c r="W14" s="564">
        <f>IF(ISNUMBER(INDEX(Database!$U$6:$U$197, MATCH($B14&amp;"% GDP", Database!$AD$6:$AD$197, 0))), INDEX(Database!$U$6:$U$197, MATCH($B14&amp;"% GDP", Database!$AD$6:$AD$197, 0)), "")</f>
        <v>2.9144858299369676</v>
      </c>
      <c r="X14" s="564">
        <f>IF(ISNUMBER(INDEX(Database!$W$6:$W$197, MATCH($B14&amp;"% GDP", Database!$AD$6:$AD$197, 0))), INDEX(Database!$W$6:$W$197, MATCH($B14&amp;"% GDP", Database!$AD$6:$AD$197, 0)), "")</f>
        <v>25.413573892889861</v>
      </c>
    </row>
    <row r="15" spans="1:25">
      <c r="A15" s="559"/>
      <c r="B15" s="562" t="s">
        <v>6</v>
      </c>
      <c r="C15" s="586">
        <f>IF(ISNUMBER(INDEX(Database!$G$6:$G$197, MATCH($B15&amp;"USD bn", Database!$AD$6:$AD$197, 0))), INDEX(Database!$G$6:$G$197, MATCH($B15&amp;"USD bn", Database!$AD$6:$AD$197, 0)), "")</f>
        <v>104.83004568682564</v>
      </c>
      <c r="D15" s="568">
        <f>IF(ISNUMBER(INDEX(Database!$H$6:$H$197, MATCH($B15&amp;"USD bn", Database!$AD$6:$AD$197, 0))), INDEX(Database!$H$6:$H$197, MATCH($B15&amp;"USD bn", Database!$AD$6:$AD$197, 0)), "")</f>
        <v>11.949099791303487</v>
      </c>
      <c r="E15" s="568">
        <f>IF(ISNUMBER(INDEX(Database!$J$6:$J$197, MATCH($B15&amp;"USD bn", Database!$AD$6:$AD$197, 0))), INDEX(Database!$J$6:$J$197, MATCH($B15&amp;"USD bn", Database!$AD$6:$AD$197, 0)), "")</f>
        <v>92.880945895522146</v>
      </c>
      <c r="F15" s="568">
        <f>IF(ISNUMBER(INDEX(Database!$L$6:$L$197, MATCH($B15&amp;"USD bn", Database!$AD$6:$AD$197, 0))), INDEX(Database!$L$6:$L$197, MATCH($B15&amp;"USD bn", Database!$AD$6:$AD$197, 0)), "")</f>
        <v>27.965978234965611</v>
      </c>
      <c r="G15" s="568"/>
      <c r="H15" s="586">
        <f>IF(ISNUMBER(INDEX(Database!$P$6:$P$197, MATCH($B15&amp;"USD bn", Database!$AD$6:$AD$197, 0))), INDEX(Database!$P$6:$P$197, MATCH($B15&amp;"USD bn", Database!$AD$6:$AD$197, 0)), "")</f>
        <v>166.01621624938676</v>
      </c>
      <c r="I15" s="568" t="str">
        <f>IF(ISNUMBER(INDEX(Database!$Q$6:$Q$197, MATCH($B15&amp;"USD bn", Database!$AD$6:$AD$197, 0))), INDEX(Database!$Q$6:$Q$197, MATCH($B15&amp;"USD bn", Database!$AD$6:$AD$197, 0)), "")</f>
        <v/>
      </c>
      <c r="J15" s="568"/>
      <c r="K15" s="568">
        <f>IF(ISNUMBER(INDEX(Database!$U$6:$U$197, MATCH($B15&amp;"USD bn", Database!$AD$6:$AD$197, 0))), INDEX(Database!$U$6:$U$197, MATCH($B15&amp;"USD bn", Database!$AD$6:$AD$197, 0)), "")</f>
        <v>60.08448051088066</v>
      </c>
      <c r="L15" s="568">
        <f>IF(ISNUMBER(INDEX(Database!$W$6:$W$197, MATCH($B15&amp;"USD bn", Database!$AD$6:$AD$197, 0))), INDEX(Database!$W$6:$W$197, MATCH($B15&amp;"USD bn", Database!$AD$6:$AD$197, 0)), "")</f>
        <v>105.93173573850609</v>
      </c>
      <c r="M15" s="376"/>
      <c r="N15" s="376"/>
      <c r="O15" s="587">
        <f>IF(ISNUMBER(INDEX(Database!$G$6:$G$197, MATCH($B15&amp;"% GDP", Database!$AD$6:$AD$197, 0))), INDEX(Database!$G$6:$G$197, MATCH($B15&amp;"% GDP", Database!$AD$6:$AD$197, 0)), "")</f>
        <v>6.3988747084813387</v>
      </c>
      <c r="P15" s="564">
        <f>IF(ISNUMBER(INDEX(Database!$H$6:$H$197, MATCH($B15&amp;"% GDP", Database!$AD$6:$AD$197, 0))), INDEX(Database!$H$6:$H$197, MATCH($B15&amp;"% GDP", Database!$AD$6:$AD$197, 0)), "")</f>
        <v>0.7293786046045827</v>
      </c>
      <c r="Q15" s="564">
        <f>IF(ISNUMBER(INDEX(Database!$J$6:$J$197, MATCH($B15&amp;"% GDP", Database!$AD$6:$AD$197, 0))), INDEX(Database!$J$6:$J$197, MATCH($B15&amp;"% GDP", Database!$AD$6:$AD$197, 0)), "")</f>
        <v>5.6694961038767557</v>
      </c>
      <c r="R15" s="564">
        <f>IF(ISNUMBER(INDEX(Database!$L$6:$L$197, MATCH($B15&amp;"% GDP", Database!$AD$6:$AD$197, 0))), INDEX(Database!$L$6:$L$197, MATCH($B15&amp;"% GDP", Database!$AD$6:$AD$197, 0)), "")</f>
        <v>1.7070563086490231</v>
      </c>
      <c r="S15" s="564"/>
      <c r="T15" s="587">
        <f>IF(ISNUMBER(INDEX(Database!$P$6:$P$197, MATCH($B15&amp;"% GDP", Database!$AD$6:$AD$197, 0))), INDEX(Database!$P$6:$P$197, MATCH($B15&amp;"% GDP", Database!$AD$6:$AD$197, 0)), "")</f>
        <v>10.133706995889202</v>
      </c>
      <c r="U15" s="564" t="str">
        <f>IF(ISNUMBER(INDEX(Database!$Q$6:$Q$197, MATCH($B15&amp;"% GDP", Database!$AD$6:$AD$197, 0))), INDEX(Database!$Q$6:$Q$197, MATCH($B15&amp;"% GDP", Database!$AD$6:$AD$197, 0)), "")</f>
        <v/>
      </c>
      <c r="V15" s="564"/>
      <c r="W15" s="564">
        <f>IF(ISNUMBER(INDEX(Database!$U$6:$U$197, MATCH($B15&amp;"% GDP", Database!$AD$6:$AD$197, 0))), INDEX(Database!$U$6:$U$197, MATCH($B15&amp;"% GDP", Database!$AD$6:$AD$197, 0)), "")</f>
        <v>3.6675846146429012</v>
      </c>
      <c r="X15" s="564">
        <f>IF(ISNUMBER(INDEX(Database!$W$6:$W$197, MATCH($B15&amp;"% GDP", Database!$AD$6:$AD$197, 0))), INDEX(Database!$W$6:$W$197, MATCH($B15&amp;"% GDP", Database!$AD$6:$AD$197, 0)), "")</f>
        <v>6.4661223812463007</v>
      </c>
    </row>
    <row r="16" spans="1:25">
      <c r="A16" s="559"/>
      <c r="B16" s="562" t="s">
        <v>32</v>
      </c>
      <c r="C16" s="586">
        <f>IF(ISNUMBER(INDEX(Database!$G$6:$G$197, MATCH($B16&amp;"USD bn", Database!$AD$6:$AD$197, 0))), INDEX(Database!$G$6:$G$197, MATCH($B16&amp;"USD bn", Database!$AD$6:$AD$197, 0)), "")</f>
        <v>107.45168705821794</v>
      </c>
      <c r="D16" s="568">
        <f>IF(ISNUMBER(INDEX(Database!$H$6:$H$197, MATCH($B16&amp;"USD bn", Database!$AD$6:$AD$197, 0))), INDEX(Database!$H$6:$H$197, MATCH($B16&amp;"USD bn", Database!$AD$6:$AD$197, 0)), "")</f>
        <v>21.924024518198266</v>
      </c>
      <c r="E16" s="568">
        <f>IF(ISNUMBER(INDEX(Database!$J$6:$J$197, MATCH($B16&amp;"USD bn", Database!$AD$6:$AD$197, 0))), INDEX(Database!$J$6:$J$197, MATCH($B16&amp;"USD bn", Database!$AD$6:$AD$197, 0)), "")</f>
        <v>85.527662540019676</v>
      </c>
      <c r="F16" s="568">
        <f>IF(ISNUMBER(INDEX(Database!$L$6:$L$197, MATCH($B16&amp;"USD bn", Database!$AD$6:$AD$197, 0))), INDEX(Database!$L$6:$L$197, MATCH($B16&amp;"USD bn", Database!$AD$6:$AD$197, 0)), "")</f>
        <v>5.1357683670948562E-2</v>
      </c>
      <c r="G16" s="568"/>
      <c r="H16" s="586">
        <f>IF(ISNUMBER(INDEX(Database!$P$6:$P$197, MATCH($B16&amp;"USD bn", Database!$AD$6:$AD$197, 0))), INDEX(Database!$P$6:$P$197, MATCH($B16&amp;"USD bn", Database!$AD$6:$AD$197, 0)), "")</f>
        <v>184.01914572044612</v>
      </c>
      <c r="I16" s="568">
        <f>IF(ISNUMBER(INDEX(Database!$Q$6:$Q$197, MATCH($B16&amp;"USD bn", Database!$AD$6:$AD$197, 0))), INDEX(Database!$Q$6:$Q$197, MATCH($B16&amp;"USD bn", Database!$AD$6:$AD$197, 0)), "")</f>
        <v>0.72927910812746966</v>
      </c>
      <c r="J16" s="568"/>
      <c r="K16" s="568">
        <f>IF(ISNUMBER(INDEX(Database!$U$6:$U$197, MATCH($B16&amp;"USD bn", Database!$AD$6:$AD$197, 0))), INDEX(Database!$U$6:$U$197, MATCH($B16&amp;"USD bn", Database!$AD$6:$AD$197, 0)), "")</f>
        <v>171.87704801877453</v>
      </c>
      <c r="L16" s="568">
        <f>IF(ISNUMBER(INDEX(Database!$W$6:$W$197, MATCH($B16&amp;"USD bn", Database!$AD$6:$AD$197, 0))), INDEX(Database!$W$6:$W$197, MATCH($B16&amp;"USD bn", Database!$AD$6:$AD$197, 0)), "")</f>
        <v>11.412818593544126</v>
      </c>
      <c r="M16" s="376"/>
      <c r="N16" s="376"/>
      <c r="O16" s="587">
        <f>IF(ISNUMBER(INDEX(Database!$G$6:$G$197, MATCH($B16&amp;"% GDP", Database!$AD$6:$AD$197, 0))), INDEX(Database!$G$6:$G$197, MATCH($B16&amp;"% GDP", Database!$AD$6:$AD$197, 0)), "")</f>
        <v>8.3916545151825215</v>
      </c>
      <c r="P16" s="564">
        <f>IF(ISNUMBER(INDEX(Database!$H$6:$H$197, MATCH($B16&amp;"% GDP", Database!$AD$6:$AD$197, 0))), INDEX(Database!$H$6:$H$197, MATCH($B16&amp;"% GDP", Database!$AD$6:$AD$197, 0)), "")</f>
        <v>1.7122005654451007</v>
      </c>
      <c r="Q16" s="564">
        <f>IF(ISNUMBER(INDEX(Database!$J$6:$J$197, MATCH($B16&amp;"% GDP", Database!$AD$6:$AD$197, 0))), INDEX(Database!$J$6:$J$197, MATCH($B16&amp;"% GDP", Database!$AD$6:$AD$197, 0)), "")</f>
        <v>6.6794539497374199</v>
      </c>
      <c r="R16" s="564">
        <f>IF(ISNUMBER(INDEX(Database!$L$6:$L$197, MATCH($B16&amp;"% GDP", Database!$AD$6:$AD$197, 0))), INDEX(Database!$L$6:$L$197, MATCH($B16&amp;"% GDP", Database!$AD$6:$AD$197, 0)), "")</f>
        <v>4.010881074702214E-3</v>
      </c>
      <c r="S16" s="564"/>
      <c r="T16" s="587">
        <f>IF(ISNUMBER(INDEX(Database!$P$6:$P$197, MATCH($B16&amp;"% GDP", Database!$AD$6:$AD$197, 0))), INDEX(Database!$P$6:$P$197, MATCH($B16&amp;"% GDP", Database!$AD$6:$AD$197, 0)), "")</f>
        <v>14.371343413420227</v>
      </c>
      <c r="U16" s="564">
        <f>IF(ISNUMBER(INDEX(Database!$Q$6:$Q$197, MATCH($B16&amp;"% GDP", Database!$AD$6:$AD$197, 0))), INDEX(Database!$Q$6:$Q$197, MATCH($B16&amp;"% GDP", Database!$AD$6:$AD$197, 0)), "")</f>
        <v>5.6954511260771438E-2</v>
      </c>
      <c r="V16" s="564"/>
      <c r="W16" s="564">
        <f>IF(ISNUMBER(INDEX(Database!$U$6:$U$197, MATCH($B16&amp;"% GDP", Database!$AD$6:$AD$197, 0))), INDEX(Database!$U$6:$U$197, MATCH($B16&amp;"% GDP", Database!$AD$6:$AD$197, 0)), "")</f>
        <v>13.423081996670074</v>
      </c>
      <c r="X16" s="564">
        <f>IF(ISNUMBER(INDEX(Database!$W$6:$W$197, MATCH($B16&amp;"% GDP", Database!$AD$6:$AD$197, 0))), INDEX(Database!$W$6:$W$197, MATCH($B16&amp;"% GDP", Database!$AD$6:$AD$197, 0)), "")</f>
        <v>0.89130690548938096</v>
      </c>
    </row>
    <row r="17" spans="1:24">
      <c r="A17" s="559"/>
      <c r="B17" s="562" t="s">
        <v>7</v>
      </c>
      <c r="C17" s="586">
        <f>IF(ISNUMBER(INDEX(Database!$G$6:$G$197, MATCH($B17&amp;"USD bn", Database!$AD$6:$AD$197, 0))), INDEX(Database!$G$6:$G$197, MATCH($B17&amp;"USD bn", Database!$AD$6:$AD$197, 0)), "")</f>
        <v>522.16796884260248</v>
      </c>
      <c r="D17" s="568">
        <f>IF(ISNUMBER(INDEX(Database!$H$6:$H$197, MATCH($B17&amp;"USD bn", Database!$AD$6:$AD$197, 0))), INDEX(Database!$H$6:$H$197, MATCH($B17&amp;"USD bn", Database!$AD$6:$AD$197, 0)), "")</f>
        <v>130.8627342062542</v>
      </c>
      <c r="E17" s="568">
        <f>IF(ISNUMBER(INDEX(Database!$J$6:$J$197, MATCH($B17&amp;"USD bn", Database!$AD$6:$AD$197, 0))), INDEX(Database!$J$6:$J$197, MATCH($B17&amp;"USD bn", Database!$AD$6:$AD$197, 0)), "")</f>
        <v>391.30523463634825</v>
      </c>
      <c r="F17" s="568">
        <f>IF(ISNUMBER(INDEX(Database!$L$6:$L$197, MATCH($B17&amp;"USD bn", Database!$AD$6:$AD$197, 0))), INDEX(Database!$L$6:$L$197, MATCH($B17&amp;"USD bn", Database!$AD$6:$AD$197, 0)), "")</f>
        <v>16.03709978017821</v>
      </c>
      <c r="G17" s="568"/>
      <c r="H17" s="586">
        <f>IF(ISNUMBER(INDEX(Database!$P$6:$P$197, MATCH($B17&amp;"USD bn", Database!$AD$6:$AD$197, 0))), INDEX(Database!$P$6:$P$197, MATCH($B17&amp;"USD bn", Database!$AD$6:$AD$197, 0)), "")</f>
        <v>452.92618683170508</v>
      </c>
      <c r="I17" s="568">
        <f>IF(ISNUMBER(INDEX(Database!$Q$6:$Q$197, MATCH($B17&amp;"USD bn", Database!$AD$6:$AD$197, 0))), INDEX(Database!$Q$6:$Q$197, MATCH($B17&amp;"USD bn", Database!$AD$6:$AD$197, 0)), "")</f>
        <v>1.3214570218866846</v>
      </c>
      <c r="J17" s="568"/>
      <c r="K17" s="568">
        <f>IF(ISNUMBER(INDEX(Database!$U$6:$U$197, MATCH($B17&amp;"USD bn", Database!$AD$6:$AD$197, 0))), INDEX(Database!$U$6:$U$197, MATCH($B17&amp;"USD bn", Database!$AD$6:$AD$197, 0)), "")</f>
        <v>451.60472980981842</v>
      </c>
      <c r="L17" s="568" t="str">
        <f>IF(ISNUMBER(INDEX(Database!$W$6:$W$197, MATCH($B17&amp;"USD bn", Database!$AD$6:$AD$197, 0))), INDEX(Database!$W$6:$W$197, MATCH($B17&amp;"USD bn", Database!$AD$6:$AD$197, 0)), "")</f>
        <v/>
      </c>
      <c r="M17" s="376"/>
      <c r="N17" s="376"/>
      <c r="O17" s="587">
        <f>IF(ISNUMBER(INDEX(Database!$G$6:$G$197, MATCH($B17&amp;"% GDP", Database!$AD$6:$AD$197, 0))), INDEX(Database!$G$6:$G$197, MATCH($B17&amp;"% GDP", Database!$AD$6:$AD$197, 0)), "")</f>
        <v>19.27047748644793</v>
      </c>
      <c r="P17" s="564">
        <f>IF(ISNUMBER(INDEX(Database!$H$6:$H$197, MATCH($B17&amp;"% GDP", Database!$AD$6:$AD$197, 0))), INDEX(Database!$H$6:$H$197, MATCH($B17&amp;"% GDP", Database!$AD$6:$AD$197, 0)), "")</f>
        <v>4.8294562742449347</v>
      </c>
      <c r="Q17" s="564">
        <f>IF(ISNUMBER(INDEX(Database!$J$6:$J$197, MATCH($B17&amp;"% GDP", Database!$AD$6:$AD$197, 0))), INDEX(Database!$J$6:$J$197, MATCH($B17&amp;"% GDP", Database!$AD$6:$AD$197, 0)), "")</f>
        <v>14.441021212202996</v>
      </c>
      <c r="R17" s="564">
        <f>IF(ISNUMBER(INDEX(Database!$L$6:$L$197, MATCH($B17&amp;"% GDP", Database!$AD$6:$AD$197, 0))), INDEX(Database!$L$6:$L$197, MATCH($B17&amp;"% GDP", Database!$AD$6:$AD$197, 0)), "")</f>
        <v>0.59184513164766361</v>
      </c>
      <c r="S17" s="564"/>
      <c r="T17" s="587">
        <f>IF(ISNUMBER(INDEX(Database!$P$6:$P$197, MATCH($B17&amp;"% GDP", Database!$AD$6:$AD$197, 0))), INDEX(Database!$P$6:$P$197, MATCH($B17&amp;"% GDP", Database!$AD$6:$AD$197, 0)), "")</f>
        <v>16.715126946045974</v>
      </c>
      <c r="U17" s="564">
        <f>IF(ISNUMBER(INDEX(Database!$Q$6:$Q$197, MATCH($B17&amp;"% GDP", Database!$AD$6:$AD$197, 0))), INDEX(Database!$Q$6:$Q$197, MATCH($B17&amp;"% GDP", Database!$AD$6:$AD$197, 0)), "")</f>
        <v>4.8768038847767488E-2</v>
      </c>
      <c r="V17" s="564"/>
      <c r="W17" s="564">
        <f>IF(ISNUMBER(INDEX(Database!$U$6:$U$197, MATCH($B17&amp;"% GDP", Database!$AD$6:$AD$197, 0))), INDEX(Database!$U$6:$U$197, MATCH($B17&amp;"% GDP", Database!$AD$6:$AD$197, 0)), "")</f>
        <v>16.666358907198209</v>
      </c>
      <c r="X17" s="564" t="str">
        <f>IF(ISNUMBER(INDEX(Database!$W$6:$W$197, MATCH($B17&amp;"% GDP", Database!$AD$6:$AD$197, 0))), INDEX(Database!$W$6:$W$197, MATCH($B17&amp;"% GDP", Database!$AD$6:$AD$197, 0)), "")</f>
        <v/>
      </c>
    </row>
    <row r="18" spans="1:24">
      <c r="A18" s="559"/>
      <c r="B18" s="562" t="s">
        <v>8</v>
      </c>
      <c r="C18" s="586">
        <f>IF(ISNUMBER(INDEX(Database!$G$6:$G$197, MATCH($B18&amp;"USD bn", Database!$AD$6:$AD$197, 0))), INDEX(Database!$G$6:$G$197, MATCH($B18&amp;"USD bn", Database!$AD$6:$AD$197, 0)), "")</f>
        <v>5328.3</v>
      </c>
      <c r="D18" s="568">
        <f>IF(ISNUMBER(INDEX(Database!$H$6:$H$197, MATCH($B18&amp;"USD bn", Database!$AD$6:$AD$197, 0))), INDEX(Database!$H$6:$H$197, MATCH($B18&amp;"USD bn", Database!$AD$6:$AD$197, 0)), "")</f>
        <v>687.3</v>
      </c>
      <c r="E18" s="568">
        <f>IF(ISNUMBER(INDEX(Database!$J$6:$J$197, MATCH($B18&amp;"USD bn", Database!$AD$6:$AD$197, 0))), INDEX(Database!$J$6:$J$197, MATCH($B18&amp;"USD bn", Database!$AD$6:$AD$197, 0)), "")</f>
        <v>4641</v>
      </c>
      <c r="F18" s="568">
        <f>IF(ISNUMBER(INDEX(Database!$L$6:$L$197, MATCH($B18&amp;"USD bn", Database!$AD$6:$AD$197, 0))), INDEX(Database!$L$6:$L$197, MATCH($B18&amp;"USD bn", Database!$AD$6:$AD$197, 0)), "")</f>
        <v>17.98</v>
      </c>
      <c r="G18" s="568"/>
      <c r="H18" s="586">
        <f>IF(ISNUMBER(INDEX(Database!$P$6:$P$197, MATCH($B18&amp;"USD bn", Database!$AD$6:$AD$197, 0))), INDEX(Database!$P$6:$P$197, MATCH($B18&amp;"USD bn", Database!$AD$6:$AD$197, 0)), "")</f>
        <v>510</v>
      </c>
      <c r="I18" s="568">
        <f>IF(ISNUMBER(INDEX(Database!$Q$6:$Q$197, MATCH($B18&amp;"USD bn", Database!$AD$6:$AD$197, 0))), INDEX(Database!$Q$6:$Q$197, MATCH($B18&amp;"USD bn", Database!$AD$6:$AD$197, 0)), "")</f>
        <v>56</v>
      </c>
      <c r="J18" s="568"/>
      <c r="K18" s="568">
        <f>IF(ISNUMBER(INDEX(Database!$U$6:$U$197, MATCH($B18&amp;"USD bn", Database!$AD$6:$AD$197, 0))), INDEX(Database!$U$6:$U$197, MATCH($B18&amp;"USD bn", Database!$AD$6:$AD$197, 0)), "")</f>
        <v>454</v>
      </c>
      <c r="L18" s="568" t="str">
        <f>IF(ISNUMBER(INDEX(Database!$W$6:$W$197, MATCH($B18&amp;"USD bn", Database!$AD$6:$AD$197, 0))), INDEX(Database!$W$6:$W$197, MATCH($B18&amp;"USD bn", Database!$AD$6:$AD$197, 0)), "")</f>
        <v/>
      </c>
      <c r="M18" s="376"/>
      <c r="N18" s="376"/>
      <c r="O18" s="587">
        <f>IF(ISNUMBER(INDEX(Database!$G$6:$G$197, MATCH($B18&amp;"% GDP", Database!$AD$6:$AD$197, 0))), INDEX(Database!$G$6:$G$197, MATCH($B18&amp;"% GDP", Database!$AD$6:$AD$197, 0)), "")</f>
        <v>25.501884534848941</v>
      </c>
      <c r="P18" s="564">
        <f>IF(ISNUMBER(INDEX(Database!$H$6:$H$197, MATCH($B18&amp;"% GDP", Database!$AD$6:$AD$197, 0))), INDEX(Database!$H$6:$H$197, MATCH($B18&amp;"% GDP", Database!$AD$6:$AD$197, 0)), "")</f>
        <v>3.2895004486987736</v>
      </c>
      <c r="Q18" s="564">
        <f>IF(ISNUMBER(INDEX(Database!$J$6:$J$197, MATCH($B18&amp;"% GDP", Database!$AD$6:$AD$197, 0))), INDEX(Database!$J$6:$J$197, MATCH($B18&amp;"% GDP", Database!$AD$6:$AD$197, 0)), "")</f>
        <v>22.212384086150163</v>
      </c>
      <c r="R18" s="564">
        <f>IF(ISNUMBER(INDEX(Database!$L$6:$L$197, MATCH($B18&amp;"% GDP", Database!$AD$6:$AD$197, 0))), INDEX(Database!$L$6:$L$197, MATCH($B18&amp;"% GDP", Database!$AD$6:$AD$197, 0)), "")</f>
        <v>8.6054442117858218E-2</v>
      </c>
      <c r="S18" s="564"/>
      <c r="T18" s="587">
        <f>IF(ISNUMBER(INDEX(Database!$P$6:$P$197, MATCH($B18&amp;"% GDP", Database!$AD$6:$AD$197, 0))), INDEX(Database!$P$6:$P$197, MATCH($B18&amp;"% GDP", Database!$AD$6:$AD$197, 0)), "")</f>
        <v>2.4409213281483697</v>
      </c>
      <c r="U18" s="564">
        <f>IF(ISNUMBER(INDEX(Database!$Q$6:$Q$197, MATCH($B18&amp;"% GDP", Database!$AD$6:$AD$197, 0))), INDEX(Database!$Q$6:$Q$197, MATCH($B18&amp;"% GDP", Database!$AD$6:$AD$197, 0)), "")</f>
        <v>0.26802273407119354</v>
      </c>
      <c r="V18" s="564"/>
      <c r="W18" s="564">
        <f>IF(ISNUMBER(INDEX(Database!$U$6:$U$197, MATCH($B18&amp;"% GDP", Database!$AD$6:$AD$197, 0))), INDEX(Database!$U$6:$U$197, MATCH($B18&amp;"% GDP", Database!$AD$6:$AD$197, 0)), "")</f>
        <v>2.1728985940771763</v>
      </c>
      <c r="X18" s="564" t="str">
        <f>IF(ISNUMBER(INDEX(Database!$W$6:$W$197, MATCH($B18&amp;"% GDP", Database!$AD$6:$AD$197, 0))), INDEX(Database!$W$6:$W$197, MATCH($B18&amp;"% GDP", Database!$AD$6:$AD$197, 0)), "")</f>
        <v/>
      </c>
    </row>
    <row r="19" spans="1:24" ht="13.5" customHeight="1">
      <c r="A19" s="559"/>
      <c r="B19" s="561" t="s">
        <v>869</v>
      </c>
      <c r="C19" s="587" t="str">
        <f>IF(ISNUMBER(INDEX(Database!$G$6:$G$197, MATCH($B19&amp;"USD bn", Database!$AD$6:$AD$197, 0))), INDEX(Database!$G$6:$G$197, MATCH($B19&amp;"USD bn", Database!$AD$6:$AD$197, 0)), "")</f>
        <v/>
      </c>
      <c r="D19" s="564" t="str">
        <f>IF(ISNUMBER(INDEX(Database!$H$6:$H$197, MATCH($B19&amp;"USD bn", Database!$AD$6:$AD$197, 0))), INDEX(Database!$H$6:$H$197, MATCH($B19&amp;"USD bn", Database!$AD$6:$AD$197, 0)), "")</f>
        <v/>
      </c>
      <c r="E19" s="564" t="str">
        <f>IF(ISNUMBER(INDEX(Database!$J$6:$J$197, MATCH($B19&amp;"USD bn", Database!$AD$6:$AD$197, 0))), INDEX(Database!$J$6:$J$197, MATCH($B19&amp;"USD bn", Database!$AD$6:$AD$197, 0)), "")</f>
        <v/>
      </c>
      <c r="F19" s="564" t="str">
        <f>IF(ISNUMBER(INDEX(Database!$L$6:$L$197, MATCH($B19&amp;"USD bn", Database!$AD$6:$AD$197, 0))), INDEX(Database!$L$6:$L$197, MATCH($B19&amp;"USD bn", Database!$AD$6:$AD$197, 0)), "")</f>
        <v/>
      </c>
      <c r="G19" s="564"/>
      <c r="H19" s="587" t="str">
        <f>IF(ISNUMBER(INDEX(Database!$P$6:$P$197, MATCH($B19&amp;"USD bn", Database!$AD$6:$AD$197, 0))), INDEX(Database!$P$6:$P$197, MATCH($B19&amp;"USD bn", Database!$AD$6:$AD$197, 0)), "")</f>
        <v/>
      </c>
      <c r="I19" s="567" t="str">
        <f>IF(ISNUMBER(INDEX(Database!$Q$6:$Q$197, MATCH($B19&amp;"USD bn", Database!$AD$6:$AD$197, 0))), INDEX(Database!$Q$6:$Q$197, MATCH($B19&amp;"USD bn", Database!$AD$6:$AD$197, 0)), "")</f>
        <v/>
      </c>
      <c r="J19" s="567"/>
      <c r="K19" s="567" t="str">
        <f>IF(ISNUMBER(INDEX(Database!$U$6:$U$197, MATCH($B19&amp;"USD bn", Database!$AD$6:$AD$197, 0))), INDEX(Database!$U$6:$U$197, MATCH($B19&amp;"USD bn", Database!$AD$6:$AD$197, 0)), "")</f>
        <v/>
      </c>
      <c r="L19" s="567" t="str">
        <f>IF(ISNUMBER(INDEX(Database!$W$6:$W$197, MATCH($B19&amp;"USD bn", Database!$AD$6:$AD$197, 0))), INDEX(Database!$W$6:$W$197, MATCH($B19&amp;"USD bn", Database!$AD$6:$AD$197, 0)), "")</f>
        <v/>
      </c>
      <c r="M19" s="376"/>
      <c r="N19" s="376"/>
      <c r="O19" s="587" t="str">
        <f>IF(ISNUMBER(INDEX(Database!$G$6:$G$197, MATCH($B19&amp;"% GDP", Database!$AD$6:$AD$197, 0))), INDEX(Database!$G$6:$G$197, MATCH($B19&amp;"% GDP", Database!$AD$6:$AD$197, 0)), "")</f>
        <v/>
      </c>
      <c r="P19" s="564" t="str">
        <f>IF(ISNUMBER(INDEX(Database!$H$6:$H$197, MATCH($B19&amp;"% GDP", Database!$AD$6:$AD$197, 0))), INDEX(Database!$H$6:$H$197, MATCH($B19&amp;"% GDP", Database!$AD$6:$AD$197, 0)), "")</f>
        <v/>
      </c>
      <c r="Q19" s="564" t="str">
        <f>IF(ISNUMBER(INDEX(Database!$J$6:$J$197, MATCH($B19&amp;"% GDP", Database!$AD$6:$AD$197, 0))), INDEX(Database!$J$6:$J$197, MATCH($B19&amp;"% GDP", Database!$AD$6:$AD$197, 0)), "")</f>
        <v/>
      </c>
      <c r="R19" s="564" t="str">
        <f>IF(ISNUMBER(INDEX(Database!$L$6:$L$197, MATCH($B19&amp;"% GDP", Database!$AD$6:$AD$197, 0))), INDEX(Database!$L$6:$L$197, MATCH($B19&amp;"% GDP", Database!$AD$6:$AD$197, 0)), "")</f>
        <v/>
      </c>
      <c r="S19" s="564"/>
      <c r="T19" s="587" t="str">
        <f>IF(ISNUMBER(INDEX(Database!$P$6:$P$197, MATCH($B19&amp;"% GDP", Database!$AD$6:$AD$197, 0))), INDEX(Database!$P$6:$P$197, MATCH($B19&amp;"% GDP", Database!$AD$6:$AD$197, 0)), "")</f>
        <v/>
      </c>
      <c r="U19" s="564" t="str">
        <f>IF(ISNUMBER(INDEX(Database!$Q$6:$Q$197, MATCH($B19&amp;"% GDP", Database!$AD$6:$AD$197, 0))), INDEX(Database!$Q$6:$Q$197, MATCH($B19&amp;"% GDP", Database!$AD$6:$AD$197, 0)), "")</f>
        <v/>
      </c>
      <c r="V19" s="564"/>
      <c r="W19" s="564" t="str">
        <f>IF(ISNUMBER(INDEX(Database!$U$6:$U$197, MATCH($B19&amp;"% GDP", Database!$AD$6:$AD$197, 0))), INDEX(Database!$U$6:$U$197, MATCH($B19&amp;"% GDP", Database!$AD$6:$AD$197, 0)), "")</f>
        <v/>
      </c>
      <c r="X19" s="564" t="str">
        <f>IF(ISNUMBER(INDEX(Database!$W$6:$W$197, MATCH($B19&amp;"% GDP", Database!$AD$6:$AD$197, 0))), INDEX(Database!$W$6:$W$197, MATCH($B19&amp;"% GDP", Database!$AD$6:$AD$197, 0)), "")</f>
        <v/>
      </c>
    </row>
    <row r="20" spans="1:24" ht="13.5" customHeight="1">
      <c r="A20" s="559"/>
      <c r="B20" s="562" t="s">
        <v>9</v>
      </c>
      <c r="C20" s="586">
        <f>IF(ISNUMBER(INDEX(Database!$G$6:$G$197, MATCH($B20&amp;"USD bn", Database!$AD$6:$AD$197, 0))), INDEX(Database!$G$6:$G$197, MATCH($B20&amp;"USD bn", Database!$AD$6:$AD$197, 0)), "")</f>
        <v>20.812695929621835</v>
      </c>
      <c r="D20" s="568">
        <f>IF(ISNUMBER(INDEX(Database!$H$6:$H$197, MATCH($B20&amp;"USD bn", Database!$AD$6:$AD$197, 0))), INDEX(Database!$H$6:$H$197, MATCH($B20&amp;"USD bn", Database!$AD$6:$AD$197, 0)), "")</f>
        <v>4.9352464465452508</v>
      </c>
      <c r="E20" s="568">
        <f>IF(ISNUMBER(INDEX(Database!$J$6:$J$197, MATCH($B20&amp;"USD bn", Database!$AD$6:$AD$197, 0))), INDEX(Database!$J$6:$J$197, MATCH($B20&amp;"USD bn", Database!$AD$6:$AD$197, 0)), "")</f>
        <v>15.877449483076587</v>
      </c>
      <c r="F20" s="568">
        <f>IF(ISNUMBER(INDEX(Database!$L$6:$L$197, MATCH($B20&amp;"USD bn", Database!$AD$6:$AD$197, 0))), INDEX(Database!$L$6:$L$197, MATCH($B20&amp;"USD bn", Database!$AD$6:$AD$197, 0)), "")</f>
        <v>0.14157333466853844</v>
      </c>
      <c r="G20" s="568"/>
      <c r="H20" s="586">
        <f>IF(ISNUMBER(INDEX(Database!$P$6:$P$197, MATCH($B20&amp;"USD bn", Database!$AD$6:$AD$197, 0))), INDEX(Database!$P$6:$P$197, MATCH($B20&amp;"USD bn", Database!$AD$6:$AD$197, 0)), "")</f>
        <v>9.9568526272383089</v>
      </c>
      <c r="I20" s="567">
        <f>IF(ISNUMBER(INDEX(Database!$Q$6:$Q$197, MATCH($B20&amp;"USD bn", Database!$AD$6:$AD$197, 0))), INDEX(Database!$Q$6:$Q$197, MATCH($B20&amp;"USD bn", Database!$AD$6:$AD$197, 0)), "")</f>
        <v>0.99526054271982523</v>
      </c>
      <c r="J20" s="567"/>
      <c r="K20" s="567">
        <f>IF(ISNUMBER(INDEX(Database!$U$6:$U$197, MATCH($B20&amp;"USD bn", Database!$AD$6:$AD$197, 0))), INDEX(Database!$U$6:$U$197, MATCH($B20&amp;"USD bn", Database!$AD$6:$AD$197, 0)), "")</f>
        <v>8.9615920845184842</v>
      </c>
      <c r="L20" s="567" t="str">
        <f>IF(ISNUMBER(INDEX(Database!$W$6:$W$197, MATCH($B20&amp;"USD bn", Database!$AD$6:$AD$197, 0))), INDEX(Database!$W$6:$W$197, MATCH($B20&amp;"USD bn", Database!$AD$6:$AD$197, 0)), "")</f>
        <v/>
      </c>
      <c r="M20" s="376"/>
      <c r="N20" s="376"/>
      <c r="O20" s="587">
        <f>IF(ISNUMBER(INDEX(Database!$G$6:$G$197, MATCH($B20&amp;"% GDP", Database!$AD$6:$AD$197, 0))), INDEX(Database!$G$6:$G$197, MATCH($B20&amp;"% GDP", Database!$AD$6:$AD$197, 0)), "")</f>
        <v>5.3494285646507498</v>
      </c>
      <c r="P20" s="564">
        <f>IF(ISNUMBER(INDEX(Database!$H$6:$H$197, MATCH($B20&amp;"% GDP", Database!$AD$6:$AD$197, 0))), INDEX(Database!$H$6:$H$197, MATCH($B20&amp;"% GDP", Database!$AD$6:$AD$197, 0)), "")</f>
        <v>1.2684924818973211</v>
      </c>
      <c r="Q20" s="564">
        <f>IF(ISNUMBER(INDEX(Database!$J$6:$J$197, MATCH($B20&amp;"% GDP", Database!$AD$6:$AD$197, 0))), INDEX(Database!$J$6:$J$197, MATCH($B20&amp;"% GDP", Database!$AD$6:$AD$197, 0)), "")</f>
        <v>4.0809360827534293</v>
      </c>
      <c r="R20" s="564">
        <f>IF(ISNUMBER(INDEX(Database!$L$6:$L$197, MATCH($B20&amp;"% GDP", Database!$AD$6:$AD$197, 0))), INDEX(Database!$L$6:$L$197, MATCH($B20&amp;"% GDP", Database!$AD$6:$AD$197, 0)), "")</f>
        <v>3.6388195120405073E-2</v>
      </c>
      <c r="S20" s="564"/>
      <c r="T20" s="587">
        <f>IF(ISNUMBER(INDEX(Database!$P$6:$P$197, MATCH($B20&amp;"% GDP", Database!$AD$6:$AD$197, 0))), INDEX(Database!$P$6:$P$197, MATCH($B20&amp;"% GDP", Database!$AD$6:$AD$197, 0)), "")</f>
        <v>2.5591817628180888</v>
      </c>
      <c r="U20" s="564">
        <f>IF(ISNUMBER(INDEX(Database!$Q$6:$Q$197, MATCH($B20&amp;"% GDP", Database!$AD$6:$AD$197, 0))), INDEX(Database!$Q$6:$Q$197, MATCH($B20&amp;"% GDP", Database!$AD$6:$AD$197, 0)), "")</f>
        <v>0.25580901169644765</v>
      </c>
      <c r="V20" s="564"/>
      <c r="W20" s="564">
        <f>IF(ISNUMBER(INDEX(Database!$U$6:$U$197, MATCH($B20&amp;"% GDP", Database!$AD$6:$AD$197, 0))), INDEX(Database!$U$6:$U$197, MATCH($B20&amp;"% GDP", Database!$AD$6:$AD$197, 0)), "")</f>
        <v>2.3033727511216413</v>
      </c>
      <c r="X20" s="564" t="str">
        <f>IF(ISNUMBER(INDEX(Database!$W$6:$W$197, MATCH($B20&amp;"% GDP", Database!$AD$6:$AD$197, 0))), INDEX(Database!$W$6:$W$197, MATCH($B20&amp;"% GDP", Database!$AD$6:$AD$197, 0)), "")</f>
        <v/>
      </c>
    </row>
    <row r="21" spans="1:24">
      <c r="A21" s="559"/>
      <c r="B21" s="562" t="s">
        <v>10</v>
      </c>
      <c r="C21" s="586">
        <f>IF(ISNUMBER(INDEX(Database!$G$6:$G$197, MATCH($B21&amp;"USD bn", Database!$AD$6:$AD$197, 0))), INDEX(Database!$G$6:$G$197, MATCH($B21&amp;"USD bn", Database!$AD$6:$AD$197, 0)), "")</f>
        <v>133.43721913654085</v>
      </c>
      <c r="D21" s="568">
        <f>IF(ISNUMBER(INDEX(Database!$H$6:$H$197, MATCH($B21&amp;"USD bn", Database!$AD$6:$AD$197, 0))), INDEX(Database!$H$6:$H$197, MATCH($B21&amp;"USD bn", Database!$AD$6:$AD$197, 0)), "")</f>
        <v>21.104767323819807</v>
      </c>
      <c r="E21" s="568">
        <f>IF(ISNUMBER(INDEX(Database!$J$6:$J$197, MATCH($B21&amp;"USD bn", Database!$AD$6:$AD$197, 0))), INDEX(Database!$J$6:$J$197, MATCH($B21&amp;"USD bn", Database!$AD$6:$AD$197, 0)), "")</f>
        <v>112.33245181272106</v>
      </c>
      <c r="F21" s="568">
        <f>IF(ISNUMBER(INDEX(Database!$L$6:$L$197, MATCH($B21&amp;"USD bn", Database!$AD$6:$AD$197, 0))), INDEX(Database!$L$6:$L$197, MATCH($B21&amp;"USD bn", Database!$AD$6:$AD$197, 0)), "")</f>
        <v>44.537266337766802</v>
      </c>
      <c r="G21" s="568"/>
      <c r="H21" s="586">
        <f>IF(ISNUMBER(INDEX(Database!$P$6:$P$197, MATCH($B21&amp;"USD bn", Database!$AD$6:$AD$197, 0))), INDEX(Database!$P$6:$P$197, MATCH($B21&amp;"USD bn", Database!$AD$6:$AD$197, 0)), "")</f>
        <v>88.861157270605275</v>
      </c>
      <c r="I21" s="567">
        <f>IF(ISNUMBER(INDEX(Database!$Q$6:$Q$197, MATCH($B21&amp;"USD bn", Database!$AD$6:$AD$197, 0))), INDEX(Database!$Q$6:$Q$197, MATCH($B21&amp;"USD bn", Database!$AD$6:$AD$197, 0)), "")</f>
        <v>15.498813503430172</v>
      </c>
      <c r="J21" s="567"/>
      <c r="K21" s="567" t="str">
        <f>IF(ISNUMBER(INDEX(Database!$U$6:$U$197, MATCH($B21&amp;"USD bn", Database!$AD$6:$AD$197, 0))), INDEX(Database!$U$6:$U$197, MATCH($B21&amp;"USD bn", Database!$AD$6:$AD$197, 0)), "")</f>
        <v/>
      </c>
      <c r="L21" s="567">
        <f>IF(ISNUMBER(INDEX(Database!$W$6:$W$197, MATCH($B21&amp;"USD bn", Database!$AD$6:$AD$197, 0))), INDEX(Database!$W$6:$W$197, MATCH($B21&amp;"USD bn", Database!$AD$6:$AD$197, 0)), "")</f>
        <v>73.362343767175105</v>
      </c>
      <c r="M21" s="376"/>
      <c r="N21" s="376"/>
      <c r="O21" s="587">
        <f>IF(ISNUMBER(INDEX(Database!$G$6:$G$197, MATCH($B21&amp;"% GDP", Database!$AD$6:$AD$197, 0))), INDEX(Database!$G$6:$G$197, MATCH($B21&amp;"% GDP", Database!$AD$6:$AD$197, 0)), "")</f>
        <v>9.2362126130761357</v>
      </c>
      <c r="P21" s="564">
        <f>IF(ISNUMBER(INDEX(Database!$H$6:$H$197, MATCH($B21&amp;"% GDP", Database!$AD$6:$AD$197, 0))), INDEX(Database!$H$6:$H$197, MATCH($B21&amp;"% GDP", Database!$AD$6:$AD$197, 0)), "")</f>
        <v>1.460822695599191</v>
      </c>
      <c r="Q21" s="564">
        <f>IF(ISNUMBER(INDEX(Database!$J$6:$J$197, MATCH($B21&amp;"% GDP", Database!$AD$6:$AD$197, 0))), INDEX(Database!$J$6:$J$197, MATCH($B21&amp;"% GDP", Database!$AD$6:$AD$197, 0)), "")</f>
        <v>7.7753899174769447</v>
      </c>
      <c r="R21" s="564">
        <f>IF(ISNUMBER(INDEX(Database!$L$6:$L$197, MATCH($B21&amp;"% GDP", Database!$AD$6:$AD$197, 0))), INDEX(Database!$L$6:$L$197, MATCH($B21&amp;"% GDP", Database!$AD$6:$AD$197, 0)), "")</f>
        <v>3.0827655414482935</v>
      </c>
      <c r="S21" s="564"/>
      <c r="T21" s="587">
        <f>IF(ISNUMBER(INDEX(Database!$P$6:$P$197, MATCH($B21&amp;"% GDP", Database!$AD$6:$AD$197, 0))), INDEX(Database!$P$6:$P$197, MATCH($B21&amp;"% GDP", Database!$AD$6:$AD$197, 0)), "")</f>
        <v>6.1507617357903444</v>
      </c>
      <c r="U21" s="564">
        <f>IF(ISNUMBER(INDEX(Database!$Q$6:$Q$197, MATCH($B21&amp;"% GDP", Database!$AD$6:$AD$197, 0))), INDEX(Database!$Q$6:$Q$197, MATCH($B21&amp;"% GDP", Database!$AD$6:$AD$197, 0)), "")</f>
        <v>1.0727916670806561</v>
      </c>
      <c r="V21" s="564"/>
      <c r="W21" s="564" t="str">
        <f>IF(ISNUMBER(INDEX(Database!$U$6:$U$197, MATCH($B21&amp;"% GDP", Database!$AD$6:$AD$197, 0))), INDEX(Database!$U$6:$U$197, MATCH($B21&amp;"% GDP", Database!$AD$6:$AD$197, 0)), "")</f>
        <v/>
      </c>
      <c r="X21" s="564">
        <f>IF(ISNUMBER(INDEX(Database!$W$6:$W$197, MATCH($B21&amp;"% GDP", Database!$AD$6:$AD$197, 0))), INDEX(Database!$W$6:$W$197, MATCH($B21&amp;"% GDP", Database!$AD$6:$AD$197, 0)), "")</f>
        <v>5.0779700687096874</v>
      </c>
    </row>
    <row r="22" spans="1:24">
      <c r="A22" s="559"/>
      <c r="B22" s="562" t="s">
        <v>11</v>
      </c>
      <c r="C22" s="586">
        <f>IF(ISNUMBER(INDEX(Database!$G$6:$G$197, MATCH($B22&amp;"USD bn", Database!$AD$6:$AD$197, 0))), INDEX(Database!$G$6:$G$197, MATCH($B22&amp;"USD bn", Database!$AD$6:$AD$197, 0)), "")</f>
        <v>710.64739339926814</v>
      </c>
      <c r="D22" s="568">
        <f>IF(ISNUMBER(INDEX(Database!$H$6:$H$197, MATCH($B22&amp;"USD bn", Database!$AD$6:$AD$197, 0))), INDEX(Database!$H$6:$H$197, MATCH($B22&amp;"USD bn", Database!$AD$6:$AD$197, 0)), "")</f>
        <v>21.302032387783935</v>
      </c>
      <c r="E22" s="568">
        <f>IF(ISNUMBER(INDEX(Database!$J$6:$J$197, MATCH($B22&amp;"USD bn", Database!$AD$6:$AD$197, 0))), INDEX(Database!$J$6:$J$197, MATCH($B22&amp;"USD bn", Database!$AD$6:$AD$197, 0)), "")</f>
        <v>689.34536101148421</v>
      </c>
      <c r="F22" s="568">
        <f>IF(ISNUMBER(INDEX(Database!$L$6:$L$197, MATCH($B22&amp;"USD bn", Database!$AD$6:$AD$197, 0))), INDEX(Database!$L$6:$L$197, MATCH($B22&amp;"USD bn", Database!$AD$6:$AD$197, 0)), "")</f>
        <v>231.8588559214578</v>
      </c>
      <c r="G22" s="568"/>
      <c r="H22" s="586">
        <f>IF(ISNUMBER(INDEX(Database!$P$6:$P$197, MATCH($B22&amp;"USD bn", Database!$AD$6:$AD$197, 0))), INDEX(Database!$P$6:$P$197, MATCH($B22&amp;"USD bn", Database!$AD$6:$AD$197, 0)), "")</f>
        <v>192.73267398471179</v>
      </c>
      <c r="I22" s="567" t="str">
        <f>IF(ISNUMBER(INDEX(Database!$Q$6:$Q$197, MATCH($B22&amp;"USD bn", Database!$AD$6:$AD$197, 0))), INDEX(Database!$Q$6:$Q$197, MATCH($B22&amp;"USD bn", Database!$AD$6:$AD$197, 0)), "")</f>
        <v/>
      </c>
      <c r="J22" s="567"/>
      <c r="K22" s="567">
        <f>IF(ISNUMBER(INDEX(Database!$U$6:$U$197, MATCH($B22&amp;"USD bn", Database!$AD$6:$AD$197, 0))), INDEX(Database!$U$6:$U$197, MATCH($B22&amp;"USD bn", Database!$AD$6:$AD$197, 0)), "")</f>
        <v>57.964713980364451</v>
      </c>
      <c r="L22" s="567">
        <f>IF(ISNUMBER(INDEX(Database!$W$6:$W$197, MATCH($B22&amp;"USD bn", Database!$AD$6:$AD$197, 0))), INDEX(Database!$W$6:$W$197, MATCH($B22&amp;"USD bn", Database!$AD$6:$AD$197, 0)), "")</f>
        <v>134.76796000434734</v>
      </c>
      <c r="M22" s="376"/>
      <c r="N22" s="376"/>
      <c r="O22" s="587">
        <f>IF(ISNUMBER(INDEX(Database!$G$6:$G$197, MATCH($B22&amp;"% GDP", Database!$AD$6:$AD$197, 0))), INDEX(Database!$G$6:$G$197, MATCH($B22&amp;"% GDP", Database!$AD$6:$AD$197, 0)), "")</f>
        <v>4.7801156546253365</v>
      </c>
      <c r="P22" s="564">
        <f>IF(ISNUMBER(INDEX(Database!$H$6:$H$197, MATCH($B22&amp;"% GDP", Database!$AD$6:$AD$197, 0))), INDEX(Database!$H$6:$H$197, MATCH($B22&amp;"% GDP", Database!$AD$6:$AD$197, 0)), "")</f>
        <v>0.14328650106646096</v>
      </c>
      <c r="Q22" s="564">
        <f>IF(ISNUMBER(INDEX(Database!$J$6:$J$197, MATCH($B22&amp;"% GDP", Database!$AD$6:$AD$197, 0))), INDEX(Database!$J$6:$J$197, MATCH($B22&amp;"% GDP", Database!$AD$6:$AD$197, 0)), "")</f>
        <v>4.6368291535588764</v>
      </c>
      <c r="R22" s="564">
        <f>IF(ISNUMBER(INDEX(Database!$L$6:$L$197, MATCH($B22&amp;"% GDP", Database!$AD$6:$AD$197, 0))), INDEX(Database!$L$6:$L$197, MATCH($B22&amp;"% GDP", Database!$AD$6:$AD$197, 0)), "")</f>
        <v>1.5595809639886906</v>
      </c>
      <c r="S22" s="564"/>
      <c r="T22" s="587">
        <f>IF(ISNUMBER(INDEX(Database!$P$6:$P$197, MATCH($B22&amp;"% GDP", Database!$AD$6:$AD$197, 0))), INDEX(Database!$P$6:$P$197, MATCH($B22&amp;"% GDP", Database!$AD$6:$AD$197, 0)), "")</f>
        <v>1.296401676315599</v>
      </c>
      <c r="U22" s="564" t="str">
        <f>IF(ISNUMBER(INDEX(Database!$Q$6:$Q$197, MATCH($B22&amp;"% GDP", Database!$AD$6:$AD$197, 0))), INDEX(Database!$Q$6:$Q$197, MATCH($B22&amp;"% GDP", Database!$AD$6:$AD$197, 0)), "")</f>
        <v/>
      </c>
      <c r="V22" s="564"/>
      <c r="W22" s="564">
        <f>IF(ISNUMBER(INDEX(Database!$U$6:$U$197, MATCH($B22&amp;"% GDP", Database!$AD$6:$AD$197, 0))), INDEX(Database!$U$6:$U$197, MATCH($B22&amp;"% GDP", Database!$AD$6:$AD$197, 0)), "")</f>
        <v>0.38989524099717265</v>
      </c>
      <c r="X22" s="564">
        <f>IF(ISNUMBER(INDEX(Database!$W$6:$W$197, MATCH($B22&amp;"% GDP", Database!$AD$6:$AD$197, 0))), INDEX(Database!$W$6:$W$197, MATCH($B22&amp;"% GDP", Database!$AD$6:$AD$197, 0)), "")</f>
        <v>0.90650643531842645</v>
      </c>
    </row>
    <row r="23" spans="1:24">
      <c r="A23" s="559"/>
      <c r="B23" s="562" t="s">
        <v>12</v>
      </c>
      <c r="C23" s="586">
        <f>IF(ISNUMBER(INDEX(Database!$G$6:$G$197, MATCH($B23&amp;"USD bn", Database!$AD$6:$AD$197, 0))), INDEX(Database!$G$6:$G$197, MATCH($B23&amp;"USD bn", Database!$AD$6:$AD$197, 0)), "")</f>
        <v>108.91796310307309</v>
      </c>
      <c r="D23" s="568">
        <f>IF(ISNUMBER(INDEX(Database!$H$6:$H$197, MATCH($B23&amp;"USD bn", Database!$AD$6:$AD$197, 0))), INDEX(Database!$H$6:$H$197, MATCH($B23&amp;"USD bn", Database!$AD$6:$AD$197, 0)), "")</f>
        <v>14.028015635197093</v>
      </c>
      <c r="E23" s="568">
        <f>IF(ISNUMBER(INDEX(Database!$J$6:$J$197, MATCH($B23&amp;"USD bn", Database!$AD$6:$AD$197, 0))), INDEX(Database!$J$6:$J$197, MATCH($B23&amp;"USD bn", Database!$AD$6:$AD$197, 0)), "")</f>
        <v>94.889947467875984</v>
      </c>
      <c r="F23" s="568">
        <f>IF(ISNUMBER(INDEX(Database!$L$6:$L$197, MATCH($B23&amp;"USD bn", Database!$AD$6:$AD$197, 0))), INDEX(Database!$L$6:$L$197, MATCH($B23&amp;"USD bn", Database!$AD$6:$AD$197, 0)), "")</f>
        <v>18.05320721758315</v>
      </c>
      <c r="G23" s="568"/>
      <c r="H23" s="586">
        <f>IF(ISNUMBER(INDEX(Database!$P$6:$P$197, MATCH($B23&amp;"USD bn", Database!$AD$6:$AD$197, 0))), INDEX(Database!$P$6:$P$197, MATCH($B23&amp;"USD bn", Database!$AD$6:$AD$197, 0)), "")</f>
        <v>165.59102232187649</v>
      </c>
      <c r="I23" s="567">
        <f>IF(ISNUMBER(INDEX(Database!$Q$6:$Q$197, MATCH($B23&amp;"USD bn", Database!$AD$6:$AD$197, 0))), INDEX(Database!$Q$6:$Q$197, MATCH($B23&amp;"USD bn", Database!$AD$6:$AD$197, 0)), "")</f>
        <v>8.6358998705005963</v>
      </c>
      <c r="J23" s="567"/>
      <c r="K23" s="567">
        <f>IF(ISNUMBER(INDEX(Database!$U$6:$U$197, MATCH($B23&amp;"USD bn", Database!$AD$6:$AD$197, 0))), INDEX(Database!$U$6:$U$197, MATCH($B23&amp;"USD bn", Database!$AD$6:$AD$197, 0)), "")</f>
        <v>140.78807121174921</v>
      </c>
      <c r="L23" s="567">
        <f>IF(ISNUMBER(INDEX(Database!$W$6:$W$197, MATCH($B23&amp;"USD bn", Database!$AD$6:$AD$197, 0))), INDEX(Database!$W$6:$W$197, MATCH($B23&amp;"USD bn", Database!$AD$6:$AD$197, 0)), "")</f>
        <v>16.167051239626701</v>
      </c>
      <c r="M23" s="376"/>
      <c r="N23" s="376"/>
      <c r="O23" s="587">
        <f>IF(ISNUMBER(INDEX(Database!$G$6:$G$197, MATCH($B23&amp;"% GDP", Database!$AD$6:$AD$197, 0))), INDEX(Database!$G$6:$G$197, MATCH($B23&amp;"% GDP", Database!$AD$6:$AD$197, 0)), "")</f>
        <v>4.0942849748831005</v>
      </c>
      <c r="P23" s="564">
        <f>IF(ISNUMBER(INDEX(Database!$H$6:$H$197, MATCH($B23&amp;"% GDP", Database!$AD$6:$AD$197, 0))), INDEX(Database!$H$6:$H$197, MATCH($B23&amp;"% GDP", Database!$AD$6:$AD$197, 0)), "")</f>
        <v>0.52732067334256061</v>
      </c>
      <c r="Q23" s="564">
        <f>IF(ISNUMBER(INDEX(Database!$J$6:$J$197, MATCH($B23&amp;"% GDP", Database!$AD$6:$AD$197, 0))), INDEX(Database!$J$6:$J$197, MATCH($B23&amp;"% GDP", Database!$AD$6:$AD$197, 0)), "")</f>
        <v>3.5669643015405401</v>
      </c>
      <c r="R23" s="564">
        <f>IF(ISNUMBER(INDEX(Database!$L$6:$L$197, MATCH($B23&amp;"% GDP", Database!$AD$6:$AD$197, 0))), INDEX(Database!$L$6:$L$197, MATCH($B23&amp;"% GDP", Database!$AD$6:$AD$197, 0)), "")</f>
        <v>0.67862979579826865</v>
      </c>
      <c r="S23" s="564"/>
      <c r="T23" s="587">
        <f>IF(ISNUMBER(INDEX(Database!$P$6:$P$197, MATCH($B23&amp;"% GDP", Database!$AD$6:$AD$197, 0))), INDEX(Database!$P$6:$P$197, MATCH($B23&amp;"% GDP", Database!$AD$6:$AD$197, 0)), "")</f>
        <v>6.2246558359377016</v>
      </c>
      <c r="U23" s="564">
        <f>IF(ISNUMBER(INDEX(Database!$Q$6:$Q$197, MATCH($B23&amp;"% GDP", Database!$AD$6:$AD$197, 0))), INDEX(Database!$Q$6:$Q$197, MATCH($B23&amp;"% GDP", Database!$AD$6:$AD$197, 0)), "")</f>
        <v>0.32462813366170912</v>
      </c>
      <c r="V23" s="564"/>
      <c r="W23" s="564">
        <f>IF(ISNUMBER(INDEX(Database!$U$6:$U$197, MATCH($B23&amp;"% GDP", Database!$AD$6:$AD$197, 0))), INDEX(Database!$U$6:$U$197, MATCH($B23&amp;"% GDP", Database!$AD$6:$AD$197, 0)), "")</f>
        <v>5.2922995269342588</v>
      </c>
      <c r="X23" s="564">
        <f>IF(ISNUMBER(INDEX(Database!$W$6:$W$197, MATCH($B23&amp;"% GDP", Database!$AD$6:$AD$197, 0))), INDEX(Database!$W$6:$W$197, MATCH($B23&amp;"% GDP", Database!$AD$6:$AD$197, 0)), "")</f>
        <v>0.60772817534173318</v>
      </c>
    </row>
    <row r="24" spans="1:24">
      <c r="A24" s="559"/>
      <c r="B24" s="562" t="s">
        <v>13</v>
      </c>
      <c r="C24" s="586">
        <f>IF(ISNUMBER(INDEX(Database!$G$6:$G$197, MATCH($B24&amp;"USD bn", Database!$AD$6:$AD$197, 0))), INDEX(Database!$G$6:$G$197, MATCH($B24&amp;"USD bn", Database!$AD$6:$AD$197, 0)), "")</f>
        <v>98.860320620644671</v>
      </c>
      <c r="D24" s="568">
        <f>IF(ISNUMBER(INDEX(Database!$H$6:$H$197, MATCH($B24&amp;"USD bn", Database!$AD$6:$AD$197, 0))), INDEX(Database!$H$6:$H$197, MATCH($B24&amp;"USD bn", Database!$AD$6:$AD$197, 0)), "")</f>
        <v>21.588685592667606</v>
      </c>
      <c r="E24" s="568">
        <f>IF(ISNUMBER(INDEX(Database!$J$6:$J$197, MATCH($B24&amp;"USD bn", Database!$AD$6:$AD$197, 0))), INDEX(Database!$J$6:$J$197, MATCH($B24&amp;"USD bn", Database!$AD$6:$AD$197, 0)), "")</f>
        <v>77.271635027977069</v>
      </c>
      <c r="F24" s="568" t="str">
        <f>IF(ISNUMBER(INDEX(Database!$L$6:$L$197, MATCH($B24&amp;"USD bn", Database!$AD$6:$AD$197, 0))), INDEX(Database!$L$6:$L$197, MATCH($B24&amp;"USD bn", Database!$AD$6:$AD$197, 0)), "")</f>
        <v/>
      </c>
      <c r="G24" s="568"/>
      <c r="H24" s="586">
        <f>IF(ISNUMBER(INDEX(Database!$P$6:$P$197, MATCH($B24&amp;"USD bn", Database!$AD$6:$AD$197, 0))), INDEX(Database!$P$6:$P$197, MATCH($B24&amp;"USD bn", Database!$AD$6:$AD$197, 0)), "")</f>
        <v>9.2787751879441149</v>
      </c>
      <c r="I24" s="567">
        <f>IF(ISNUMBER(INDEX(Database!$Q$6:$Q$197, MATCH($B24&amp;"USD bn", Database!$AD$6:$AD$197, 0))), INDEX(Database!$Q$6:$Q$197, MATCH($B24&amp;"USD bn", Database!$AD$6:$AD$197, 0)), "")</f>
        <v>2.4132367580927534</v>
      </c>
      <c r="J24" s="567"/>
      <c r="K24" s="567">
        <f>IF(ISNUMBER(INDEX(Database!$U$6:$U$197, MATCH($B24&amp;"USD bn", Database!$AD$6:$AD$197, 0))), INDEX(Database!$U$6:$U$197, MATCH($B24&amp;"USD bn", Database!$AD$6:$AD$197, 0)), "")</f>
        <v>6.8655384298513615</v>
      </c>
      <c r="L24" s="567" t="str">
        <f>IF(ISNUMBER(INDEX(Database!$W$6:$W$197, MATCH($B24&amp;"USD bn", Database!$AD$6:$AD$197, 0))), INDEX(Database!$W$6:$W$197, MATCH($B24&amp;"USD bn", Database!$AD$6:$AD$197, 0)), "")</f>
        <v/>
      </c>
      <c r="M24" s="376"/>
      <c r="N24" s="376"/>
      <c r="O24" s="587">
        <f>IF(ISNUMBER(INDEX(Database!$G$6:$G$197, MATCH($B24&amp;"% GDP", Database!$AD$6:$AD$197, 0))), INDEX(Database!$G$6:$G$197, MATCH($B24&amp;"% GDP", Database!$AD$6:$AD$197, 0)), "")</f>
        <v>9.3296348167315557</v>
      </c>
      <c r="P24" s="564">
        <f>IF(ISNUMBER(INDEX(Database!$H$6:$H$197, MATCH($B24&amp;"% GDP", Database!$AD$6:$AD$197, 0))), INDEX(Database!$H$6:$H$197, MATCH($B24&amp;"% GDP", Database!$AD$6:$AD$197, 0)), "")</f>
        <v>2.037364955811825</v>
      </c>
      <c r="Q24" s="564">
        <f>IF(ISNUMBER(INDEX(Database!$J$6:$J$197, MATCH($B24&amp;"% GDP", Database!$AD$6:$AD$197, 0))), INDEX(Database!$J$6:$J$197, MATCH($B24&amp;"% GDP", Database!$AD$6:$AD$197, 0)), "")</f>
        <v>7.2922698609197294</v>
      </c>
      <c r="R24" s="564" t="str">
        <f>IF(ISNUMBER(INDEX(Database!$L$6:$L$197, MATCH($B24&amp;"% GDP", Database!$AD$6:$AD$197, 0))), INDEX(Database!$L$6:$L$197, MATCH($B24&amp;"% GDP", Database!$AD$6:$AD$197, 0)), "")</f>
        <v/>
      </c>
      <c r="S24" s="564"/>
      <c r="T24" s="587">
        <f>IF(ISNUMBER(INDEX(Database!$P$6:$P$197, MATCH($B24&amp;"% GDP", Database!$AD$6:$AD$197, 0))), INDEX(Database!$P$6:$P$197, MATCH($B24&amp;"% GDP", Database!$AD$6:$AD$197, 0)), "")</f>
        <v>0.87565550573371964</v>
      </c>
      <c r="U24" s="564">
        <f>IF(ISNUMBER(INDEX(Database!$Q$6:$Q$197, MATCH($B24&amp;"% GDP", Database!$AD$6:$AD$197, 0))), INDEX(Database!$Q$6:$Q$197, MATCH($B24&amp;"% GDP", Database!$AD$6:$AD$197, 0)), "")</f>
        <v>0.22774170200917679</v>
      </c>
      <c r="V24" s="564"/>
      <c r="W24" s="564">
        <f>IF(ISNUMBER(INDEX(Database!$U$6:$U$197, MATCH($B24&amp;"% GDP", Database!$AD$6:$AD$197, 0))), INDEX(Database!$U$6:$U$197, MATCH($B24&amp;"% GDP", Database!$AD$6:$AD$197, 0)), "")</f>
        <v>0.64791380372454288</v>
      </c>
      <c r="X24" s="564" t="str">
        <f>IF(ISNUMBER(INDEX(Database!$W$6:$W$197, MATCH($B24&amp;"% GDP", Database!$AD$6:$AD$197, 0))), INDEX(Database!$W$6:$W$197, MATCH($B24&amp;"% GDP", Database!$AD$6:$AD$197, 0)), "")</f>
        <v/>
      </c>
    </row>
    <row r="25" spans="1:24">
      <c r="B25" s="562" t="s">
        <v>14</v>
      </c>
      <c r="C25" s="586">
        <f>IF(ISNUMBER(INDEX(Database!$G$6:$G$197, MATCH($B25&amp;"USD bn", Database!$AD$6:$AD$197, 0))), INDEX(Database!$G$6:$G$197, MATCH($B25&amp;"USD bn", Database!$AD$6:$AD$197, 0)), "")</f>
        <v>7.0279601888550927</v>
      </c>
      <c r="D25" s="568">
        <f>IF(ISNUMBER(INDEX(Database!$H$6:$H$197, MATCH($B25&amp;"USD bn", Database!$AD$6:$AD$197, 0))), INDEX(Database!$H$6:$H$197, MATCH($B25&amp;"USD bn", Database!$AD$6:$AD$197, 0)), "")</f>
        <v>4.8032151754294405</v>
      </c>
      <c r="E25" s="568">
        <f>IF(ISNUMBER(INDEX(Database!$J$6:$J$197, MATCH($B25&amp;"USD bn", Database!$AD$6:$AD$197, 0))), INDEX(Database!$J$6:$J$197, MATCH($B25&amp;"USD bn", Database!$AD$6:$AD$197, 0)), "")</f>
        <v>2.2247450134256517</v>
      </c>
      <c r="F25" s="568">
        <f>IF(ISNUMBER(INDEX(Database!$L$6:$L$197, MATCH($B25&amp;"USD bn", Database!$AD$6:$AD$197, 0))), INDEX(Database!$L$6:$L$197, MATCH($B25&amp;"USD bn", Database!$AD$6:$AD$197, 0)), "")</f>
        <v>4.2819360091037648</v>
      </c>
      <c r="G25" s="568"/>
      <c r="H25" s="586">
        <f>IF(ISNUMBER(INDEX(Database!$P$6:$P$197, MATCH($B25&amp;"USD bn", Database!$AD$6:$AD$197, 0))), INDEX(Database!$P$6:$P$197, MATCH($B25&amp;"USD bn", Database!$AD$6:$AD$197, 0)), "")</f>
        <v>13.41362997634462</v>
      </c>
      <c r="I25" s="567">
        <f>IF(ISNUMBER(INDEX(Database!$Q$6:$Q$197, MATCH($B25&amp;"USD bn", Database!$AD$6:$AD$197, 0))), INDEX(Database!$Q$6:$Q$197, MATCH($B25&amp;"USD bn", Database!$AD$6:$AD$197, 0)), "")</f>
        <v>0.89362142798687272</v>
      </c>
      <c r="J25" s="567"/>
      <c r="K25" s="567">
        <f>IF(ISNUMBER(INDEX(Database!$U$6:$U$197, MATCH($B25&amp;"USD bn", Database!$AD$6:$AD$197, 0))), INDEX(Database!$U$6:$U$197, MATCH($B25&amp;"USD bn", Database!$AD$6:$AD$197, 0)), "")</f>
        <v>0.27925669624589772</v>
      </c>
      <c r="L25" s="567">
        <f>IF(ISNUMBER(INDEX(Database!$W$6:$W$197, MATCH($B25&amp;"USD bn", Database!$AD$6:$AD$197, 0))), INDEX(Database!$W$6:$W$197, MATCH($B25&amp;"USD bn", Database!$AD$6:$AD$197, 0)), "")</f>
        <v>12.240751852111851</v>
      </c>
      <c r="M25" s="376"/>
      <c r="N25" s="376"/>
      <c r="O25" s="587">
        <f>IF(ISNUMBER(INDEX(Database!$G$6:$G$197, MATCH($B25&amp;"% GDP", Database!$AD$6:$AD$197, 0))), INDEX(Database!$G$6:$G$197, MATCH($B25&amp;"% GDP", Database!$AD$6:$AD$197, 0)), "")</f>
        <v>0.65442396745349374</v>
      </c>
      <c r="P25" s="564">
        <f>IF(ISNUMBER(INDEX(Database!$H$6:$H$197, MATCH($B25&amp;"% GDP", Database!$AD$6:$AD$197, 0))), INDEX(Database!$H$6:$H$197, MATCH($B25&amp;"% GDP", Database!$AD$6:$AD$197, 0)), "")</f>
        <v>0.44726194331920904</v>
      </c>
      <c r="Q25" s="564">
        <f>IF(ISNUMBER(INDEX(Database!$J$6:$J$197, MATCH($B25&amp;"% GDP", Database!$AD$6:$AD$197, 0))), INDEX(Database!$J$6:$J$197, MATCH($B25&amp;"% GDP", Database!$AD$6:$AD$197, 0)), "")</f>
        <v>0.20716202413428478</v>
      </c>
      <c r="R25" s="564">
        <f>IF(ISNUMBER(INDEX(Database!$L$6:$L$197, MATCH($B25&amp;"% GDP", Database!$AD$6:$AD$197, 0))), INDEX(Database!$L$6:$L$197, MATCH($B25&amp;"% GDP", Database!$AD$6:$AD$197, 0)), "")</f>
        <v>0.39872188745510878</v>
      </c>
      <c r="S25" s="564"/>
      <c r="T25" s="587">
        <f>IF(ISNUMBER(INDEX(Database!$P$6:$P$197, MATCH($B25&amp;"% GDP", Database!$AD$6:$AD$197, 0))), INDEX(Database!$P$6:$P$197, MATCH($B25&amp;"% GDP", Database!$AD$6:$AD$197, 0)), "")</f>
        <v>1.2490396517887212</v>
      </c>
      <c r="U25" s="564">
        <f>IF(ISNUMBER(INDEX(Database!$Q$6:$Q$197, MATCH($B25&amp;"% GDP", Database!$AD$6:$AD$197, 0))), INDEX(Database!$Q$6:$Q$197, MATCH($B25&amp;"% GDP", Database!$AD$6:$AD$197, 0)), "")</f>
        <v>8.3211524338457493E-2</v>
      </c>
      <c r="V25" s="564"/>
      <c r="W25" s="564">
        <f>IF(ISNUMBER(INDEX(Database!$U$6:$U$197, MATCH($B25&amp;"% GDP", Database!$AD$6:$AD$197, 0))), INDEX(Database!$U$6:$U$197, MATCH($B25&amp;"% GDP", Database!$AD$6:$AD$197, 0)), "")</f>
        <v>2.6003601355767965E-2</v>
      </c>
      <c r="X25" s="564">
        <f>IF(ISNUMBER(INDEX(Database!$W$6:$W$197, MATCH($B25&amp;"% GDP", Database!$AD$6:$AD$197, 0))), INDEX(Database!$W$6:$W$197, MATCH($B25&amp;"% GDP", Database!$AD$6:$AD$197, 0)), "")</f>
        <v>1.1398245260944957</v>
      </c>
    </row>
    <row r="26" spans="1:24">
      <c r="B26" s="562" t="s">
        <v>15</v>
      </c>
      <c r="C26" s="586">
        <f>IF(ISNUMBER(INDEX(Database!$G$6:$G$197, MATCH($B26&amp;"USD bn", Database!$AD$6:$AD$197, 0))), INDEX(Database!$G$6:$G$197, MATCH($B26&amp;"USD bn", Database!$AD$6:$AD$197, 0)), "")</f>
        <v>74.006320564062733</v>
      </c>
      <c r="D26" s="568">
        <f>IF(ISNUMBER(INDEX(Database!$H$6:$H$197, MATCH($B26&amp;"USD bn", Database!$AD$6:$AD$197, 0))), INDEX(Database!$H$6:$H$197, MATCH($B26&amp;"USD bn", Database!$AD$6:$AD$197, 0)), "")</f>
        <v>10.712532393938853</v>
      </c>
      <c r="E26" s="568">
        <f>IF(ISNUMBER(INDEX(Database!$J$6:$J$197, MATCH($B26&amp;"USD bn", Database!$AD$6:$AD$197, 0))), INDEX(Database!$J$6:$J$197, MATCH($B26&amp;"USD bn", Database!$AD$6:$AD$197, 0)), "")</f>
        <v>63.293788170123882</v>
      </c>
      <c r="F26" s="568">
        <f>IF(ISNUMBER(INDEX(Database!$L$6:$L$197, MATCH($B26&amp;"USD bn", Database!$AD$6:$AD$197, 0))), INDEX(Database!$L$6:$L$197, MATCH($B26&amp;"USD bn", Database!$AD$6:$AD$197, 0)), "")</f>
        <v>6.3584063241443518</v>
      </c>
      <c r="G26" s="568"/>
      <c r="H26" s="586">
        <f>IF(ISNUMBER(INDEX(Database!$P$6:$P$197, MATCH($B26&amp;"USD bn", Database!$AD$6:$AD$197, 0))), INDEX(Database!$P$6:$P$197, MATCH($B26&amp;"USD bn", Database!$AD$6:$AD$197, 0)), "")</f>
        <v>21.660049369422172</v>
      </c>
      <c r="I26" s="567">
        <f>IF(ISNUMBER(INDEX(Database!$Q$6:$Q$197, MATCH($B26&amp;"USD bn", Database!$AD$6:$AD$197, 0))), INDEX(Database!$Q$6:$Q$197, MATCH($B26&amp;"USD bn", Database!$AD$6:$AD$197, 0)), "")</f>
        <v>7.837426925630103</v>
      </c>
      <c r="J26" s="567"/>
      <c r="K26" s="567">
        <f>IF(ISNUMBER(INDEX(Database!$U$6:$U$197, MATCH($B26&amp;"USD bn", Database!$AD$6:$AD$197, 0))), INDEX(Database!$U$6:$U$197, MATCH($B26&amp;"USD bn", Database!$AD$6:$AD$197, 0)), "")</f>
        <v>6.9113112218960344</v>
      </c>
      <c r="L26" s="567">
        <f>IF(ISNUMBER(INDEX(Database!$W$6:$W$197, MATCH($B26&amp;"USD bn", Database!$AD$6:$AD$197, 0))), INDEX(Database!$W$6:$W$197, MATCH($B26&amp;"USD bn", Database!$AD$6:$AD$197, 0)), "")</f>
        <v>6.9113112218960344</v>
      </c>
      <c r="M26" s="376"/>
      <c r="N26" s="376"/>
      <c r="O26" s="587">
        <f>IF(ISNUMBER(INDEX(Database!$G$6:$G$197, MATCH($B26&amp;"% GDP", Database!$AD$6:$AD$197, 0))), INDEX(Database!$G$6:$G$197, MATCH($B26&amp;"% GDP", Database!$AD$6:$AD$197, 0)), "")</f>
        <v>5.0052604782800296</v>
      </c>
      <c r="P26" s="564">
        <f>IF(ISNUMBER(INDEX(Database!$H$6:$H$197, MATCH($B26&amp;"% GDP", Database!$AD$6:$AD$197, 0))), INDEX(Database!$H$6:$H$197, MATCH($B26&amp;"% GDP", Database!$AD$6:$AD$197, 0)), "")</f>
        <v>0.72451940057284703</v>
      </c>
      <c r="Q26" s="564">
        <f>IF(ISNUMBER(INDEX(Database!$J$6:$J$197, MATCH($B26&amp;"% GDP", Database!$AD$6:$AD$197, 0))), INDEX(Database!$J$6:$J$197, MATCH($B26&amp;"% GDP", Database!$AD$6:$AD$197, 0)), "")</f>
        <v>4.2807410777071828</v>
      </c>
      <c r="R26" s="564">
        <f>IF(ISNUMBER(INDEX(Database!$L$6:$L$197, MATCH($B26&amp;"% GDP", Database!$AD$6:$AD$197, 0))), INDEX(Database!$L$6:$L$197, MATCH($B26&amp;"% GDP", Database!$AD$6:$AD$197, 0)), "")</f>
        <v>0.43003732163033498</v>
      </c>
      <c r="S26" s="564"/>
      <c r="T26" s="587">
        <f>IF(ISNUMBER(INDEX(Database!$P$6:$P$197, MATCH($B26&amp;"% GDP", Database!$AD$6:$AD$197, 0))), INDEX(Database!$P$6:$P$197, MATCH($B26&amp;"% GDP", Database!$AD$6:$AD$197, 0)), "")</f>
        <v>1.464931484771163</v>
      </c>
      <c r="U26" s="564">
        <f>IF(ISNUMBER(INDEX(Database!$Q$6:$Q$197, MATCH($B26&amp;"% GDP", Database!$AD$6:$AD$197, 0))), INDEX(Database!$Q$6:$Q$197, MATCH($B26&amp;"% GDP", Database!$AD$6:$AD$197, 0)), "")</f>
        <v>0.53006774209652163</v>
      </c>
      <c r="V26" s="564"/>
      <c r="W26" s="564">
        <f>IF(ISNUMBER(INDEX(Database!$U$6:$U$197, MATCH($B26&amp;"% GDP", Database!$AD$6:$AD$197, 0))), INDEX(Database!$U$6:$U$197, MATCH($B26&amp;"% GDP", Database!$AD$6:$AD$197, 0)), "")</f>
        <v>0.46743187133732073</v>
      </c>
      <c r="X26" s="564">
        <f>IF(ISNUMBER(INDEX(Database!$W$6:$W$197, MATCH($B26&amp;"% GDP", Database!$AD$6:$AD$197, 0))), INDEX(Database!$W$6:$W$197, MATCH($B26&amp;"% GDP", Database!$AD$6:$AD$197, 0)), "")</f>
        <v>0.46743187133732073</v>
      </c>
    </row>
    <row r="27" spans="1:24">
      <c r="B27" s="562" t="s">
        <v>16</v>
      </c>
      <c r="C27" s="586">
        <f>IF(ISNUMBER(INDEX(Database!$G$6:$G$197, MATCH($B27&amp;"USD bn", Database!$AD$6:$AD$197, 0))), INDEX(Database!$G$6:$G$197, MATCH($B27&amp;"USD bn", Database!$AD$6:$AD$197, 0)), "")</f>
        <v>18.026666666666664</v>
      </c>
      <c r="D27" s="568">
        <f>IF(ISNUMBER(INDEX(Database!$H$6:$H$197, MATCH($B27&amp;"USD bn", Database!$AD$6:$AD$197, 0))), INDEX(Database!$H$6:$H$197, MATCH($B27&amp;"USD bn", Database!$AD$6:$AD$197, 0)), "")</f>
        <v>14.4</v>
      </c>
      <c r="E27" s="568">
        <f>IF(ISNUMBER(INDEX(Database!$J$6:$J$197, MATCH($B27&amp;"USD bn", Database!$AD$6:$AD$197, 0))), INDEX(Database!$J$6:$J$197, MATCH($B27&amp;"USD bn", Database!$AD$6:$AD$197, 0)), "")</f>
        <v>3.6266666666666665</v>
      </c>
      <c r="F27" s="568">
        <f>IF(ISNUMBER(INDEX(Database!$L$6:$L$197, MATCH($B27&amp;"USD bn", Database!$AD$6:$AD$197, 0))), INDEX(Database!$L$6:$L$197, MATCH($B27&amp;"USD bn", Database!$AD$6:$AD$197, 0)), "")</f>
        <v>11.333333333333334</v>
      </c>
      <c r="G27" s="568"/>
      <c r="H27" s="586">
        <f>IF(ISNUMBER(INDEX(Database!$P$6:$P$197, MATCH($B27&amp;"USD bn", Database!$AD$6:$AD$197, 0))), INDEX(Database!$P$6:$P$197, MATCH($B27&amp;"USD bn", Database!$AD$6:$AD$197, 0)), "")</f>
        <v>6.8533333333333335</v>
      </c>
      <c r="I27" s="567">
        <f>IF(ISNUMBER(INDEX(Database!$Q$6:$Q$197, MATCH($B27&amp;"USD bn", Database!$AD$6:$AD$197, 0))), INDEX(Database!$Q$6:$Q$197, MATCH($B27&amp;"USD bn", Database!$AD$6:$AD$197, 0)), "")</f>
        <v>6.8533333333333335</v>
      </c>
      <c r="J27" s="567"/>
      <c r="K27" s="567" t="str">
        <f>IF(ISNUMBER(INDEX(Database!$U$6:$U$197, MATCH($B27&amp;"USD bn", Database!$AD$6:$AD$197, 0))), INDEX(Database!$U$6:$U$197, MATCH($B27&amp;"USD bn", Database!$AD$6:$AD$197, 0)), "")</f>
        <v/>
      </c>
      <c r="L27" s="567" t="str">
        <f>IF(ISNUMBER(INDEX(Database!$W$6:$W$197, MATCH($B27&amp;"USD bn", Database!$AD$6:$AD$197, 0))), INDEX(Database!$W$6:$W$197, MATCH($B27&amp;"USD bn", Database!$AD$6:$AD$197, 0)), "")</f>
        <v/>
      </c>
      <c r="M27" s="376"/>
      <c r="N27" s="376"/>
      <c r="O27" s="587">
        <f>IF(ISNUMBER(INDEX(Database!$G$6:$G$197, MATCH($B27&amp;"% GDP", Database!$AD$6:$AD$197, 0))), INDEX(Database!$G$6:$G$197, MATCH($B27&amp;"% GDP", Database!$AD$6:$AD$197, 0)), "")</f>
        <v>2.5748045471962433</v>
      </c>
      <c r="P27" s="564">
        <f>IF(ISNUMBER(INDEX(Database!$H$6:$H$197, MATCH($B27&amp;"% GDP", Database!$AD$6:$AD$197, 0))), INDEX(Database!$H$6:$H$197, MATCH($B27&amp;"% GDP", Database!$AD$6:$AD$197, 0)), "")</f>
        <v>2.0567965317839816</v>
      </c>
      <c r="Q27" s="564">
        <f>IF(ISNUMBER(INDEX(Database!$J$6:$J$197, MATCH($B27&amp;"% GDP", Database!$AD$6:$AD$197, 0))), INDEX(Database!$J$6:$J$197, MATCH($B27&amp;"% GDP", Database!$AD$6:$AD$197, 0)), "")</f>
        <v>0.51800801541226205</v>
      </c>
      <c r="R27" s="564">
        <f>IF(ISNUMBER(INDEX(Database!$L$6:$L$197, MATCH($B27&amp;"% GDP", Database!$AD$6:$AD$197, 0))), INDEX(Database!$L$6:$L$197, MATCH($B27&amp;"% GDP", Database!$AD$6:$AD$197, 0)), "")</f>
        <v>1.6187750329433777</v>
      </c>
      <c r="S27" s="564"/>
      <c r="T27" s="587">
        <f>IF(ISNUMBER(INDEX(Database!$P$6:$P$197, MATCH($B27&amp;"% GDP", Database!$AD$6:$AD$197, 0))), INDEX(Database!$P$6:$P$197, MATCH($B27&amp;"% GDP", Database!$AD$6:$AD$197, 0)), "")</f>
        <v>0.97888278462693656</v>
      </c>
      <c r="U27" s="564">
        <f>IF(ISNUMBER(INDEX(Database!$Q$6:$Q$197, MATCH($B27&amp;"% GDP", Database!$AD$6:$AD$197, 0))), INDEX(Database!$Q$6:$Q$197, MATCH($B27&amp;"% GDP", Database!$AD$6:$AD$197, 0)), "")</f>
        <v>0.97888278462693656</v>
      </c>
      <c r="V27" s="564"/>
      <c r="W27" s="564" t="str">
        <f>IF(ISNUMBER(INDEX(Database!$U$6:$U$197, MATCH($B27&amp;"% GDP", Database!$AD$6:$AD$197, 0))), INDEX(Database!$U$6:$U$197, MATCH($B27&amp;"% GDP", Database!$AD$6:$AD$197, 0)), "")</f>
        <v/>
      </c>
      <c r="X27" s="564" t="str">
        <f>IF(ISNUMBER(INDEX(Database!$W$6:$W$197, MATCH($B27&amp;"% GDP", Database!$AD$6:$AD$197, 0))), INDEX(Database!$W$6:$W$197, MATCH($B27&amp;"% GDP", Database!$AD$6:$AD$197, 0)), "")</f>
        <v/>
      </c>
    </row>
    <row r="28" spans="1:24">
      <c r="B28" s="562" t="s">
        <v>17</v>
      </c>
      <c r="C28" s="586">
        <f>IF(ISNUMBER(INDEX(Database!$G$6:$G$197, MATCH($B28&amp;"USD bn", Database!$AD$6:$AD$197, 0))), INDEX(Database!$G$6:$G$197, MATCH($B28&amp;"USD bn", Database!$AD$6:$AD$197, 0)), "")</f>
        <v>17.693238243228844</v>
      </c>
      <c r="D28" s="568">
        <f>IF(ISNUMBER(INDEX(Database!$H$6:$H$197, MATCH($B28&amp;"USD bn", Database!$AD$6:$AD$197, 0))), INDEX(Database!$H$6:$H$197, MATCH($B28&amp;"USD bn", Database!$AD$6:$AD$197, 0)), "")</f>
        <v>2.3262994325975441</v>
      </c>
      <c r="E28" s="568">
        <f>IF(ISNUMBER(INDEX(Database!$J$6:$J$197, MATCH($B28&amp;"USD bn", Database!$AD$6:$AD$197, 0))), INDEX(Database!$J$6:$J$197, MATCH($B28&amp;"USD bn", Database!$AD$6:$AD$197, 0)), "")</f>
        <v>15.366938810631298</v>
      </c>
      <c r="F28" s="568">
        <f>IF(ISNUMBER(INDEX(Database!$L$6:$L$197, MATCH($B28&amp;"USD bn", Database!$AD$6:$AD$197, 0))), INDEX(Database!$L$6:$L$197, MATCH($B28&amp;"USD bn", Database!$AD$6:$AD$197, 0)), "")</f>
        <v>2.6725110975010953</v>
      </c>
      <c r="G28" s="568"/>
      <c r="H28" s="586">
        <f>IF(ISNUMBER(INDEX(Database!$P$6:$P$197, MATCH($B28&amp;"USD bn", Database!$AD$6:$AD$197, 0))), INDEX(Database!$P$6:$P$197, MATCH($B28&amp;"USD bn", Database!$AD$6:$AD$197, 0)), "")</f>
        <v>12.32999438165278</v>
      </c>
      <c r="I28" s="567" t="str">
        <f>IF(ISNUMBER(INDEX(Database!$Q$6:$Q$197, MATCH($B28&amp;"USD bn", Database!$AD$6:$AD$197, 0))), INDEX(Database!$Q$6:$Q$197, MATCH($B28&amp;"USD bn", Database!$AD$6:$AD$197, 0)), "")</f>
        <v/>
      </c>
      <c r="J28" s="567"/>
      <c r="K28" s="567">
        <f>IF(ISNUMBER(INDEX(Database!$U$6:$U$197, MATCH($B28&amp;"USD bn", Database!$AD$6:$AD$197, 0))), INDEX(Database!$U$6:$U$197, MATCH($B28&amp;"USD bn", Database!$AD$6:$AD$197, 0)), "")</f>
        <v>12.147777715914069</v>
      </c>
      <c r="L28" s="567">
        <f>IF(ISNUMBER(INDEX(Database!$W$6:$W$197, MATCH($B28&amp;"USD bn", Database!$AD$6:$AD$197, 0))), INDEX(Database!$W$6:$W$197, MATCH($B28&amp;"USD bn", Database!$AD$6:$AD$197, 0)), "")</f>
        <v>0.18221666573871104</v>
      </c>
      <c r="M28" s="376"/>
      <c r="N28" s="376"/>
      <c r="O28" s="587">
        <f>IF(ISNUMBER(INDEX(Database!$G$6:$G$197, MATCH($B28&amp;"% GDP", Database!$AD$6:$AD$197, 0))), INDEX(Database!$G$6:$G$197, MATCH($B28&amp;"% GDP", Database!$AD$6:$AD$197, 0)), "")</f>
        <v>5.2761463161134641</v>
      </c>
      <c r="P28" s="564">
        <f>IF(ISNUMBER(INDEX(Database!$H$6:$H$197, MATCH($B28&amp;"% GDP", Database!$AD$6:$AD$197, 0))), INDEX(Database!$H$6:$H$197, MATCH($B28&amp;"% GDP", Database!$AD$6:$AD$197, 0)), "")</f>
        <v>0.69370547170321195</v>
      </c>
      <c r="Q28" s="564">
        <f>IF(ISNUMBER(INDEX(Database!$J$6:$J$197, MATCH($B28&amp;"% GDP", Database!$AD$6:$AD$197, 0))), INDEX(Database!$J$6:$J$197, MATCH($B28&amp;"% GDP", Database!$AD$6:$AD$197, 0)), "")</f>
        <v>4.582440844410252</v>
      </c>
      <c r="R28" s="564">
        <f>IF(ISNUMBER(INDEX(Database!$L$6:$L$197, MATCH($B28&amp;"% GDP", Database!$AD$6:$AD$197, 0))), INDEX(Database!$L$6:$L$197, MATCH($B28&amp;"% GDP", Database!$AD$6:$AD$197, 0)), "")</f>
        <v>0.88478224805071415</v>
      </c>
      <c r="S28" s="564"/>
      <c r="T28" s="587">
        <f>IF(ISNUMBER(INDEX(Database!$P$6:$P$197, MATCH($B28&amp;"% GDP", Database!$AD$6:$AD$197, 0))), INDEX(Database!$P$6:$P$197, MATCH($B28&amp;"% GDP", Database!$AD$6:$AD$197, 0)), "")</f>
        <v>4.0820635535067034</v>
      </c>
      <c r="U28" s="564" t="str">
        <f>IF(ISNUMBER(INDEX(Database!$Q$6:$Q$197, MATCH($B28&amp;"% GDP", Database!$AD$6:$AD$197, 0))), INDEX(Database!$Q$6:$Q$197, MATCH($B28&amp;"% GDP", Database!$AD$6:$AD$197, 0)), "")</f>
        <v/>
      </c>
      <c r="V28" s="564"/>
      <c r="W28" s="564">
        <f>IF(ISNUMBER(INDEX(Database!$U$6:$U$197, MATCH($B28&amp;"% GDP", Database!$AD$6:$AD$197, 0))), INDEX(Database!$U$6:$U$197, MATCH($B28&amp;"% GDP", Database!$AD$6:$AD$197, 0)), "")</f>
        <v>4.0217374911396089</v>
      </c>
      <c r="X28" s="564">
        <f>IF(ISNUMBER(INDEX(Database!$W$6:$W$197, MATCH($B28&amp;"% GDP", Database!$AD$6:$AD$197, 0))), INDEX(Database!$W$6:$W$197, MATCH($B28&amp;"% GDP", Database!$AD$6:$AD$197, 0)), "")</f>
        <v>6.032606236709414E-2</v>
      </c>
    </row>
    <row r="29" spans="1:24">
      <c r="B29" s="562" t="s">
        <v>18</v>
      </c>
      <c r="C29" s="586">
        <f>IF(ISNUMBER(INDEX(Database!$G$6:$G$197, MATCH($B29&amp;"USD bn", Database!$AD$6:$AD$197, 0))), INDEX(Database!$G$6:$G$197, MATCH($B29&amp;"USD bn", Database!$AD$6:$AD$197, 0)), "")</f>
        <v>25.234121210982789</v>
      </c>
      <c r="D29" s="568">
        <f>IF(ISNUMBER(INDEX(Database!$H$6:$H$197, MATCH($B29&amp;"USD bn", Database!$AD$6:$AD$197, 0))), INDEX(Database!$H$6:$H$197, MATCH($B29&amp;"USD bn", Database!$AD$6:$AD$197, 0)), "")</f>
        <v>2.7673372045961901</v>
      </c>
      <c r="E29" s="568">
        <f>IF(ISNUMBER(INDEX(Database!$J$6:$J$197, MATCH($B29&amp;"USD bn", Database!$AD$6:$AD$197, 0))), INDEX(Database!$J$6:$J$197, MATCH($B29&amp;"USD bn", Database!$AD$6:$AD$197, 0)), "")</f>
        <v>22.466784006386597</v>
      </c>
      <c r="F29" s="568">
        <f>IF(ISNUMBER(INDEX(Database!$L$6:$L$197, MATCH($B29&amp;"USD bn", Database!$AD$6:$AD$197, 0))), INDEX(Database!$L$6:$L$197, MATCH($B29&amp;"USD bn", Database!$AD$6:$AD$197, 0)), "")</f>
        <v>10.01376658570374</v>
      </c>
      <c r="G29" s="568"/>
      <c r="H29" s="586">
        <f>IF(ISNUMBER(INDEX(Database!$P$6:$P$197, MATCH($B29&amp;"USD bn", Database!$AD$6:$AD$197, 0))), INDEX(Database!$P$6:$P$197, MATCH($B29&amp;"USD bn", Database!$AD$6:$AD$197, 0)), "")</f>
        <v>69.354605612096279</v>
      </c>
      <c r="I29" s="567">
        <f>IF(ISNUMBER(INDEX(Database!$Q$6:$Q$197, MATCH($B29&amp;"USD bn", Database!$AD$6:$AD$197, 0))), INDEX(Database!$Q$6:$Q$197, MATCH($B29&amp;"USD bn", Database!$AD$6:$AD$197, 0)), "")</f>
        <v>2.995571200851546</v>
      </c>
      <c r="J29" s="567"/>
      <c r="K29" s="567">
        <f>IF(ISNUMBER(INDEX(Database!$U$6:$U$197, MATCH($B29&amp;"USD bn", Database!$AD$6:$AD$197, 0))), INDEX(Database!$U$6:$U$197, MATCH($B29&amp;"USD bn", Database!$AD$6:$AD$197, 0)), "")</f>
        <v>45.932091746390377</v>
      </c>
      <c r="L29" s="567">
        <f>IF(ISNUMBER(INDEX(Database!$W$6:$W$197, MATCH($B29&amp;"USD bn", Database!$AD$6:$AD$197, 0))), INDEX(Database!$W$6:$W$197, MATCH($B29&amp;"USD bn", Database!$AD$6:$AD$197, 0)), "")</f>
        <v>20.426942664854352</v>
      </c>
      <c r="M29" s="376"/>
      <c r="N29" s="376"/>
      <c r="O29" s="587">
        <f>IF(ISNUMBER(INDEX(Database!$G$6:$G$197, MATCH($B29&amp;"% GDP", Database!$AD$6:$AD$197, 0))), INDEX(Database!$G$6:$G$197, MATCH($B29&amp;"% GDP", Database!$AD$6:$AD$197, 0)), "")</f>
        <v>3.5051335544057456</v>
      </c>
      <c r="P29" s="564">
        <f>IF(ISNUMBER(INDEX(Database!$H$6:$H$197, MATCH($B29&amp;"% GDP", Database!$AD$6:$AD$197, 0))), INDEX(Database!$H$6:$H$197, MATCH($B29&amp;"% GDP", Database!$AD$6:$AD$197, 0)), "")</f>
        <v>0.3843956526595334</v>
      </c>
      <c r="Q29" s="564">
        <f>IF(ISNUMBER(INDEX(Database!$J$6:$J$197, MATCH($B29&amp;"% GDP", Database!$AD$6:$AD$197, 0))), INDEX(Database!$J$6:$J$197, MATCH($B29&amp;"% GDP", Database!$AD$6:$AD$197, 0)), "")</f>
        <v>3.120737901746212</v>
      </c>
      <c r="R29" s="564">
        <f>IF(ISNUMBER(INDEX(Database!$L$6:$L$197, MATCH($B29&amp;"% GDP", Database!$AD$6:$AD$197, 0))), INDEX(Database!$L$6:$L$197, MATCH($B29&amp;"% GDP", Database!$AD$6:$AD$197, 0)), "")</f>
        <v>1.3909574647783118</v>
      </c>
      <c r="S29" s="564"/>
      <c r="T29" s="587">
        <f>IF(ISNUMBER(INDEX(Database!$P$6:$P$197, MATCH($B29&amp;"% GDP", Database!$AD$6:$AD$197, 0))), INDEX(Database!$P$6:$P$197, MATCH($B29&amp;"% GDP", Database!$AD$6:$AD$197, 0)), "")</f>
        <v>9.6336683671683065</v>
      </c>
      <c r="U29" s="564">
        <f>IF(ISNUMBER(INDEX(Database!$Q$6:$Q$197, MATCH($B29&amp;"% GDP", Database!$AD$6:$AD$197, 0))), INDEX(Database!$Q$6:$Q$197, MATCH($B29&amp;"% GDP", Database!$AD$6:$AD$197, 0)), "")</f>
        <v>0.41609838689949497</v>
      </c>
      <c r="V29" s="564"/>
      <c r="W29" s="564">
        <f>IF(ISNUMBER(INDEX(Database!$U$6:$U$197, MATCH($B29&amp;"% GDP", Database!$AD$6:$AD$197, 0))), INDEX(Database!$U$6:$U$197, MATCH($B29&amp;"% GDP", Database!$AD$6:$AD$197, 0)), "")</f>
        <v>6.3801752657922552</v>
      </c>
      <c r="X29" s="564">
        <f>IF(ISNUMBER(INDEX(Database!$W$6:$W$197, MATCH($B29&amp;"% GDP", Database!$AD$6:$AD$197, 0))), INDEX(Database!$W$6:$W$197, MATCH($B29&amp;"% GDP", Database!$AD$6:$AD$197, 0)), "")</f>
        <v>2.8373947144765559</v>
      </c>
    </row>
    <row r="30" spans="1:24">
      <c r="B30" s="565" t="s">
        <v>776</v>
      </c>
      <c r="C30" s="587"/>
      <c r="D30" s="564"/>
      <c r="E30" s="564"/>
      <c r="F30" s="564"/>
      <c r="H30" s="587" t="str">
        <f>IF(ISNUMBER(INDEX(Database!$P$6:$P$197, MATCH($B30&amp;"USD bn", Database!$AD$6:$AD$197, 0))), INDEX(Database!$P$6:$P$197, MATCH($B30&amp;"USD bn", Database!$AD$6:$AD$197, 0)), "")</f>
        <v/>
      </c>
      <c r="I30" s="567" t="str">
        <f>IF(ISNUMBER(INDEX(Database!$Q$6:$Q$197, MATCH($B30&amp;"USD bn", Database!$AD$6:$AD$197, 0))), INDEX(Database!$Q$6:$Q$197, MATCH($B30&amp;"USD bn", Database!$AD$6:$AD$197, 0)), "")</f>
        <v/>
      </c>
      <c r="J30" s="567"/>
      <c r="K30" s="567" t="str">
        <f>IF(ISNUMBER(INDEX(Database!$U$6:$U$197, MATCH($B30&amp;"USD bn", Database!$AD$6:$AD$197, 0))), INDEX(Database!$U$6:$U$197, MATCH($B30&amp;"USD bn", Database!$AD$6:$AD$197, 0)), "")</f>
        <v/>
      </c>
      <c r="L30" s="567" t="str">
        <f>IF(ISNUMBER(INDEX(Database!$W$6:$W$197, MATCH($B30&amp;"USD bn", Database!$AD$6:$AD$197, 0))), INDEX(Database!$W$6:$W$197, MATCH($B30&amp;"USD bn", Database!$AD$6:$AD$197, 0)), "")</f>
        <v/>
      </c>
      <c r="O30" s="587" t="str">
        <f>IF(ISNUMBER(INDEX(Database!$G$6:$G$197, MATCH($B30&amp;"% GDP", Database!$AD$6:$AD$197, 0))), INDEX(Database!$G$6:$G$197, MATCH($B30&amp;"% GDP", Database!$AD$6:$AD$197, 0)), "")</f>
        <v/>
      </c>
      <c r="P30" s="564" t="str">
        <f>IF(ISNUMBER(INDEX(Database!$H$6:$H$197, MATCH($B30&amp;"% GDP", Database!$AD$6:$AD$197, 0))), INDEX(Database!$H$6:$H$197, MATCH($B30&amp;"% GDP", Database!$AD$6:$AD$197, 0)), "")</f>
        <v/>
      </c>
      <c r="Q30" s="564" t="str">
        <f>IF(ISNUMBER(INDEX(Database!$J$6:$J$197, MATCH($B30&amp;"% GDP", Database!$AD$6:$AD$197, 0))), INDEX(Database!$J$6:$J$197, MATCH($B30&amp;"% GDP", Database!$AD$6:$AD$197, 0)), "")</f>
        <v/>
      </c>
      <c r="R30" s="564" t="str">
        <f>IF(ISNUMBER(INDEX(Database!$L$6:$L$197, MATCH($B30&amp;"% GDP", Database!$AD$6:$AD$197, 0))), INDEX(Database!$L$6:$L$197, MATCH($B30&amp;"% GDP", Database!$AD$6:$AD$197, 0)), "")</f>
        <v/>
      </c>
      <c r="S30" s="564"/>
      <c r="T30" s="587" t="str">
        <f>IF(ISNUMBER(INDEX(Database!$P$6:$P$197, MATCH($B30&amp;"% GDP", Database!$AD$6:$AD$197, 0))), INDEX(Database!$P$6:$P$197, MATCH($B30&amp;"% GDP", Database!$AD$6:$AD$197, 0)), "")</f>
        <v/>
      </c>
      <c r="U30" s="564" t="str">
        <f>IF(ISNUMBER(INDEX(Database!$Q$6:$Q$197, MATCH($B30&amp;"% GDP", Database!$AD$6:$AD$197, 0))), INDEX(Database!$Q$6:$Q$197, MATCH($B30&amp;"% GDP", Database!$AD$6:$AD$197, 0)), "")</f>
        <v/>
      </c>
      <c r="V30" s="564"/>
      <c r="W30" s="564" t="str">
        <f>IF(ISNUMBER(INDEX(Database!$U$6:$U$197, MATCH($B30&amp;"% GDP", Database!$AD$6:$AD$197, 0))), INDEX(Database!$U$6:$U$197, MATCH($B30&amp;"% GDP", Database!$AD$6:$AD$197, 0)), "")</f>
        <v/>
      </c>
      <c r="X30" s="564" t="str">
        <f>IF(ISNUMBER(INDEX(Database!$W$6:$W$197, MATCH($B30&amp;"% GDP", Database!$AD$6:$AD$197, 0))), INDEX(Database!$W$6:$W$197, MATCH($B30&amp;"% GDP", Database!$AD$6:$AD$197, 0)), "")</f>
        <v/>
      </c>
    </row>
    <row r="31" spans="1:24">
      <c r="B31" s="562" t="s">
        <v>547</v>
      </c>
      <c r="C31" s="586">
        <f>IF(ISNUMBER(INDEX(Database!$G$6:$G$197, MATCH($B31&amp;"USD bn", Database!$AD$6:$AD$197, 0))), INDEX(Database!$G$6:$G$197, MATCH($B31&amp;"USD bn", Database!$AD$6:$AD$197, 0)), "")</f>
        <v>42.45568516798415</v>
      </c>
      <c r="D31" s="568">
        <f>IF(ISNUMBER(INDEX(Database!$H$6:$H$197, MATCH($B31&amp;"USD bn", Database!$AD$6:$AD$197, 0))), INDEX(Database!$H$6:$H$197, MATCH($B31&amp;"USD bn", Database!$AD$6:$AD$197, 0)), "")</f>
        <v>10.95630584980236</v>
      </c>
      <c r="E31" s="568">
        <f>IF(ISNUMBER(INDEX(Database!$J$6:$J$197, MATCH($B31&amp;"USD bn", Database!$AD$6:$AD$197, 0))), INDEX(Database!$J$6:$J$197, MATCH($B31&amp;"USD bn", Database!$AD$6:$AD$197, 0)), "")</f>
        <v>31.499379318181788</v>
      </c>
      <c r="F31" s="568">
        <f>IF(ISNUMBER(INDEX(Database!$L$6:$L$197, MATCH($B31&amp;"USD bn", Database!$AD$6:$AD$197, 0))), INDEX(Database!$L$6:$L$197, MATCH($B31&amp;"USD bn", Database!$AD$6:$AD$197, 0)), "")</f>
        <v>14.722535985671922</v>
      </c>
      <c r="G31" s="568"/>
      <c r="H31" s="586">
        <f>IF(ISNUMBER(INDEX(Database!$P$6:$P$197, MATCH($B31&amp;"USD bn", Database!$AD$6:$AD$197, 0))), INDEX(Database!$P$6:$P$197, MATCH($B31&amp;"USD bn", Database!$AD$6:$AD$197, 0)), "")</f>
        <v>61.172707661396508</v>
      </c>
      <c r="I31" s="567">
        <f>IF(ISNUMBER(INDEX(Database!$Q$6:$Q$197, MATCH($B31&amp;"USD bn", Database!$AD$6:$AD$197, 0))), INDEX(Database!$Q$6:$Q$197, MATCH($B31&amp;"USD bn", Database!$AD$6:$AD$197, 0)), "")</f>
        <v>1.8260509749670601</v>
      </c>
      <c r="J31" s="567"/>
      <c r="K31" s="567">
        <f>IF(ISNUMBER(INDEX(Database!$U$6:$U$197, MATCH($B31&amp;"USD bn", Database!$AD$6:$AD$197, 0))), INDEX(Database!$U$6:$U$197, MATCH($B31&amp;"USD bn", Database!$AD$6:$AD$197, 0)), "")</f>
        <v>59.346656686429448</v>
      </c>
      <c r="L31" s="567" t="str">
        <f>IF(ISNUMBER(INDEX(Database!$W$6:$W$197, MATCH($B31&amp;"USD bn", Database!$AD$6:$AD$197, 0))), INDEX(Database!$W$6:$W$197, MATCH($B31&amp;"USD bn", Database!$AD$6:$AD$197, 0)), "")</f>
        <v/>
      </c>
      <c r="O31" s="587">
        <f>IF(ISNUMBER(INDEX(Database!$G$6:$G$197, MATCH($B31&amp;"% GDP", Database!$AD$6:$AD$197, 0))), INDEX(Database!$G$6:$G$197, MATCH($B31&amp;"% GDP", Database!$AD$6:$AD$197, 0)), "")</f>
        <v>8.2451011465566726</v>
      </c>
      <c r="P31" s="564">
        <f>IF(ISNUMBER(INDEX(Database!$H$6:$H$197, MATCH($B31&amp;"% GDP", Database!$AD$6:$AD$197, 0))), INDEX(Database!$H$6:$H$197, MATCH($B31&amp;"% GDP", Database!$AD$6:$AD$197, 0)), "")</f>
        <v>2.127768037821077</v>
      </c>
      <c r="Q31" s="564">
        <f>IF(ISNUMBER(INDEX(Database!$J$6:$J$197, MATCH($B31&amp;"% GDP", Database!$AD$6:$AD$197, 0))), INDEX(Database!$J$6:$J$197, MATCH($B31&amp;"% GDP", Database!$AD$6:$AD$197, 0)), "")</f>
        <v>6.117333108735596</v>
      </c>
      <c r="R31" s="564">
        <f>IF(ISNUMBER(INDEX(Database!$L$6:$L$197, MATCH($B31&amp;"% GDP", Database!$AD$6:$AD$197, 0))), INDEX(Database!$L$6:$L$197, MATCH($B31&amp;"% GDP", Database!$AD$6:$AD$197, 0)), "")</f>
        <v>2.8591883008220722</v>
      </c>
      <c r="S31" s="564"/>
      <c r="T31" s="587">
        <f>IF(ISNUMBER(INDEX(Database!$P$6:$P$197, MATCH($B31&amp;"% GDP", Database!$AD$6:$AD$197, 0))), INDEX(Database!$P$6:$P$197, MATCH($B31&amp;"% GDP", Database!$AD$6:$AD$197, 0)), "")</f>
        <v>11.880038211167678</v>
      </c>
      <c r="U31" s="564">
        <f>IF(ISNUMBER(INDEX(Database!$Q$6:$Q$197, MATCH($B31&amp;"% GDP", Database!$AD$6:$AD$197, 0))), INDEX(Database!$Q$6:$Q$197, MATCH($B31&amp;"% GDP", Database!$AD$6:$AD$197, 0)), "")</f>
        <v>0.35462800630351282</v>
      </c>
      <c r="V31" s="564"/>
      <c r="W31" s="564">
        <f>IF(ISNUMBER(INDEX(Database!$U$6:$U$197, MATCH($B31&amp;"% GDP", Database!$AD$6:$AD$197, 0))), INDEX(Database!$U$6:$U$197, MATCH($B31&amp;"% GDP", Database!$AD$6:$AD$197, 0)), "")</f>
        <v>11.525410204864166</v>
      </c>
      <c r="X31" s="564" t="str">
        <f>IF(ISNUMBER(INDEX(Database!$W$6:$W$197, MATCH($B31&amp;"% GDP", Database!$AD$6:$AD$197, 0))), INDEX(Database!$W$6:$W$197, MATCH($B31&amp;"% GDP", Database!$AD$6:$AD$197, 0)), "")</f>
        <v/>
      </c>
    </row>
    <row r="32" spans="1:24">
      <c r="B32" s="563" t="s">
        <v>541</v>
      </c>
      <c r="C32" s="586">
        <f>IF(ISNUMBER(INDEX(Database!$G$6:$G$197, MATCH($B32&amp;"USD bn", Database!$AD$6:$AD$197, 0))), INDEX(Database!$G$6:$G$197, MATCH($B32&amp;"USD bn", Database!$AD$6:$AD$197, 0)), "")</f>
        <v>22.550381835611422</v>
      </c>
      <c r="D32" s="568">
        <f>IF(ISNUMBER(INDEX(Database!$H$6:$H$197, MATCH($B32&amp;"USD bn", Database!$AD$6:$AD$197, 0))), INDEX(Database!$H$6:$H$197, MATCH($B32&amp;"USD bn", Database!$AD$6:$AD$197, 0)), "")</f>
        <v>6.3937269094473352</v>
      </c>
      <c r="E32" s="568">
        <f>IF(ISNUMBER(INDEX(Database!$J$6:$J$197, MATCH($B32&amp;"USD bn", Database!$AD$6:$AD$197, 0))), INDEX(Database!$J$6:$J$197, MATCH($B32&amp;"USD bn", Database!$AD$6:$AD$197, 0)), "")</f>
        <v>16.156654926164087</v>
      </c>
      <c r="F32" s="568">
        <f>IF(ISNUMBER(INDEX(Database!$L$6:$L$197, MATCH($B32&amp;"USD bn", Database!$AD$6:$AD$197, 0))), INDEX(Database!$L$6:$L$197, MATCH($B32&amp;"USD bn", Database!$AD$6:$AD$197, 0)), "")</f>
        <v>0.61610710785105727</v>
      </c>
      <c r="G32" s="568"/>
      <c r="H32" s="586">
        <f>IF(ISNUMBER(INDEX(Database!$P$6:$P$197, MATCH($B32&amp;"USD bn", Database!$AD$6:$AD$197, 0))), INDEX(Database!$P$6:$P$197, MATCH($B32&amp;"USD bn", Database!$AD$6:$AD$197, 0)), "")</f>
        <v>37.970293297142426</v>
      </c>
      <c r="I32" s="567">
        <f>IF(ISNUMBER(INDEX(Database!$Q$6:$Q$197, MATCH($B32&amp;"USD bn", Database!$AD$6:$AD$197, 0))), INDEX(Database!$Q$6:$Q$197, MATCH($B32&amp;"USD bn", Database!$AD$6:$AD$197, 0)), "")</f>
        <v>3.8775971822793812E-2</v>
      </c>
      <c r="J32" s="567"/>
      <c r="K32" s="567">
        <f>IF(ISNUMBER(INDEX(Database!$U$6:$U$197, MATCH($B32&amp;"USD bn", Database!$AD$6:$AD$197, 0))), INDEX(Database!$U$6:$U$197, MATCH($B32&amp;"USD bn", Database!$AD$6:$AD$197, 0)), "")</f>
        <v>37.931517325319632</v>
      </c>
      <c r="L32" s="567" t="str">
        <f>IF(ISNUMBER(INDEX(Database!$W$6:$W$197, MATCH($B32&amp;"USD bn", Database!$AD$6:$AD$197, 0))), INDEX(Database!$W$6:$W$197, MATCH($B32&amp;"USD bn", Database!$AD$6:$AD$197, 0)), "")</f>
        <v/>
      </c>
      <c r="O32" s="587">
        <f>IF(ISNUMBER(INDEX(Database!$G$6:$G$197, MATCH($B32&amp;"% GDP", Database!$AD$6:$AD$197, 0))), INDEX(Database!$G$6:$G$197, MATCH($B32&amp;"% GDP", Database!$AD$6:$AD$197, 0)), "")</f>
        <v>9.1911264362891103</v>
      </c>
      <c r="P32" s="564">
        <f>IF(ISNUMBER(INDEX(Database!$H$6:$H$197, MATCH($B32&amp;"% GDP", Database!$AD$6:$AD$197, 0))), INDEX(Database!$H$6:$H$197, MATCH($B32&amp;"% GDP", Database!$AD$6:$AD$197, 0)), "")</f>
        <v>2.6059670675301949</v>
      </c>
      <c r="Q32" s="564">
        <f>IF(ISNUMBER(INDEX(Database!$J$6:$J$197, MATCH($B32&amp;"% GDP", Database!$AD$6:$AD$197, 0))), INDEX(Database!$J$6:$J$197, MATCH($B32&amp;"% GDP", Database!$AD$6:$AD$197, 0)), "")</f>
        <v>6.5851593687589149</v>
      </c>
      <c r="R32" s="564">
        <f>IF(ISNUMBER(INDEX(Database!$L$6:$L$197, MATCH($B32&amp;"% GDP", Database!$AD$6:$AD$197, 0))), INDEX(Database!$L$6:$L$197, MATCH($B32&amp;"% GDP", Database!$AD$6:$AD$197, 0)), "")</f>
        <v>0.25111407726200669</v>
      </c>
      <c r="S32" s="564"/>
      <c r="T32" s="587">
        <f>IF(ISNUMBER(INDEX(Database!$P$6:$P$197, MATCH($B32&amp;"% GDP", Database!$AD$6:$AD$197, 0))), INDEX(Database!$P$6:$P$197, MATCH($B32&amp;"% GDP", Database!$AD$6:$AD$197, 0)), "")</f>
        <v>15.476002537832619</v>
      </c>
      <c r="U32" s="564">
        <f>IF(ISNUMBER(INDEX(Database!$Q$6:$Q$197, MATCH($B32&amp;"% GDP", Database!$AD$6:$AD$197, 0))), INDEX(Database!$Q$6:$Q$197, MATCH($B32&amp;"% GDP", Database!$AD$6:$AD$197, 0)), "")</f>
        <v>1.5804382485021397E-2</v>
      </c>
      <c r="V32" s="564"/>
      <c r="W32" s="564">
        <f>IF(ISNUMBER(INDEX(Database!$U$6:$U$197, MATCH($B32&amp;"% GDP", Database!$AD$6:$AD$197, 0))), INDEX(Database!$U$6:$U$197, MATCH($B32&amp;"% GDP", Database!$AD$6:$AD$197, 0)), "")</f>
        <v>15.460198155347598</v>
      </c>
      <c r="X32" s="564" t="str">
        <f>IF(ISNUMBER(INDEX(Database!$W$6:$W$197, MATCH($B32&amp;"% GDP", Database!$AD$6:$AD$197, 0))), INDEX(Database!$W$6:$W$197, MATCH($B32&amp;"% GDP", Database!$AD$6:$AD$197, 0)), "")</f>
        <v/>
      </c>
    </row>
    <row r="33" spans="2:24">
      <c r="B33" s="563" t="s">
        <v>19</v>
      </c>
      <c r="C33" s="586">
        <f>IF(ISNUMBER(INDEX(Database!$G$6:$G$197, MATCH($B33&amp;"USD bn", Database!$AD$6:$AD$197, 0))), INDEX(Database!$G$6:$G$197, MATCH($B33&amp;"USD bn", Database!$AD$6:$AD$197, 0)), "")</f>
        <v>12.151964295383831</v>
      </c>
      <c r="D33" s="568" t="str">
        <f>IF(ISNUMBER(INDEX(Database!$H$6:$H$197, MATCH($B33&amp;"USD bn", Database!$AD$6:$AD$197, 0))), INDEX(Database!$H$6:$H$197, MATCH($B33&amp;"USD bn", Database!$AD$6:$AD$197, 0)), "")</f>
        <v/>
      </c>
      <c r="E33" s="568">
        <f>IF(ISNUMBER(INDEX(Database!$J$6:$J$197, MATCH($B33&amp;"USD bn", Database!$AD$6:$AD$197, 0))), INDEX(Database!$J$6:$J$197, MATCH($B33&amp;"USD bn", Database!$AD$6:$AD$197, 0)), "")</f>
        <v>12.151964295383831</v>
      </c>
      <c r="F33" s="568">
        <f>IF(ISNUMBER(INDEX(Database!$L$6:$L$197, MATCH($B33&amp;"USD bn", Database!$AD$6:$AD$197, 0))), INDEX(Database!$L$6:$L$197, MATCH($B33&amp;"USD bn", Database!$AD$6:$AD$197, 0)), "")</f>
        <v>48.730141098973149</v>
      </c>
      <c r="G33" s="568"/>
      <c r="H33" s="586">
        <f>IF(ISNUMBER(INDEX(Database!$P$6:$P$197, MATCH($B33&amp;"USD bn", Database!$AD$6:$AD$197, 0))), INDEX(Database!$P$6:$P$197, MATCH($B33&amp;"USD bn", Database!$AD$6:$AD$197, 0)), "")</f>
        <v>55.669753413569694</v>
      </c>
      <c r="I33" s="567">
        <f>IF(ISNUMBER(INDEX(Database!$Q$6:$Q$197, MATCH($B33&amp;"USD bn", Database!$AD$6:$AD$197, 0))), INDEX(Database!$Q$6:$Q$197, MATCH($B33&amp;"USD bn", Database!$AD$6:$AD$197, 0)), "")</f>
        <v>43.105080896833208</v>
      </c>
      <c r="J33" s="567"/>
      <c r="K33" s="567">
        <f>IF(ISNUMBER(INDEX(Database!$U$6:$U$197, MATCH($B33&amp;"USD bn", Database!$AD$6:$AD$197, 0))), INDEX(Database!$U$6:$U$197, MATCH($B33&amp;"USD bn", Database!$AD$6:$AD$197, 0)), "")</f>
        <v>12.56467251673649</v>
      </c>
      <c r="L33" s="567" t="str">
        <f>IF(ISNUMBER(INDEX(Database!$W$6:$W$197, MATCH($B33&amp;"USD bn", Database!$AD$6:$AD$197, 0))), INDEX(Database!$W$6:$W$197, MATCH($B33&amp;"USD bn", Database!$AD$6:$AD$197, 0)), "")</f>
        <v/>
      </c>
      <c r="O33" s="587">
        <f>IF(ISNUMBER(INDEX(Database!$G$6:$G$197, MATCH($B33&amp;"% GDP", Database!$AD$6:$AD$197, 0))), INDEX(Database!$G$6:$G$197, MATCH($B33&amp;"% GDP", Database!$AD$6:$AD$197, 0)), "")</f>
        <v>3.412660153565414</v>
      </c>
      <c r="P33" s="564" t="str">
        <f>IF(ISNUMBER(INDEX(Database!$H$6:$H$197, MATCH($B33&amp;"% GDP", Database!$AD$6:$AD$197, 0))), INDEX(Database!$H$6:$H$197, MATCH($B33&amp;"% GDP", Database!$AD$6:$AD$197, 0)), "")</f>
        <v/>
      </c>
      <c r="Q33" s="564">
        <f>IF(ISNUMBER(INDEX(Database!$J$6:$J$197, MATCH($B33&amp;"% GDP", Database!$AD$6:$AD$197, 0))), INDEX(Database!$J$6:$J$197, MATCH($B33&amp;"% GDP", Database!$AD$6:$AD$197, 0)), "")</f>
        <v>3.412660153565414</v>
      </c>
      <c r="R33" s="564">
        <f>IF(ISNUMBER(INDEX(Database!$L$6:$L$197, MATCH($B33&amp;"% GDP", Database!$AD$6:$AD$197, 0))), INDEX(Database!$L$6:$L$197, MATCH($B33&amp;"% GDP", Database!$AD$6:$AD$197, 0)), "")</f>
        <v>13.684981848511372</v>
      </c>
      <c r="S33" s="564"/>
      <c r="T33" s="587">
        <f>IF(ISNUMBER(INDEX(Database!$P$6:$P$197, MATCH($B33&amp;"% GDP", Database!$AD$6:$AD$197, 0))), INDEX(Database!$P$6:$P$197, MATCH($B33&amp;"% GDP", Database!$AD$6:$AD$197, 0)), "")</f>
        <v>15.633846892182691</v>
      </c>
      <c r="U33" s="564">
        <f>IF(ISNUMBER(INDEX(Database!$Q$6:$Q$197, MATCH($B33&amp;"% GDP", Database!$AD$6:$AD$197, 0))), INDEX(Database!$Q$6:$Q$197, MATCH($B33&amp;"% GDP", Database!$AD$6:$AD$197, 0)), "")</f>
        <v>12.105285073024488</v>
      </c>
      <c r="V33" s="564"/>
      <c r="W33" s="564">
        <f>IF(ISNUMBER(INDEX(Database!$U$6:$U$197, MATCH($B33&amp;"% GDP", Database!$AD$6:$AD$197, 0))), INDEX(Database!$U$6:$U$197, MATCH($B33&amp;"% GDP", Database!$AD$6:$AD$197, 0)), "")</f>
        <v>3.528561819158202</v>
      </c>
      <c r="X33" s="564" t="str">
        <f>IF(ISNUMBER(INDEX(Database!$W$6:$W$197, MATCH($B33&amp;"% GDP", Database!$AD$6:$AD$197, 0))), INDEX(Database!$W$6:$W$197, MATCH($B33&amp;"% GDP", Database!$AD$6:$AD$197, 0)), "")</f>
        <v/>
      </c>
    </row>
    <row r="34" spans="2:24">
      <c r="B34" s="563" t="s">
        <v>20</v>
      </c>
      <c r="C34" s="586">
        <f>IF(ISNUMBER(INDEX(Database!$G$6:$G$197, MATCH($B34&amp;"USD bn", Database!$AD$6:$AD$197, 0))), INDEX(Database!$G$6:$G$197, MATCH($B34&amp;"USD bn", Database!$AD$6:$AD$197, 0)), "")</f>
        <v>12.896485010704863</v>
      </c>
      <c r="D34" s="568">
        <f>IF(ISNUMBER(INDEX(Database!$H$6:$H$197, MATCH($B34&amp;"USD bn", Database!$AD$6:$AD$197, 0))), INDEX(Database!$H$6:$H$197, MATCH($B34&amp;"USD bn", Database!$AD$6:$AD$197, 0)), "")</f>
        <v>4.6792556233530913</v>
      </c>
      <c r="E34" s="568">
        <f>IF(ISNUMBER(INDEX(Database!$J$6:$J$197, MATCH($B34&amp;"USD bn", Database!$AD$6:$AD$197, 0))), INDEX(Database!$J$6:$J$197, MATCH($B34&amp;"USD bn", Database!$AD$6:$AD$197, 0)), "")</f>
        <v>8.2172293873517699</v>
      </c>
      <c r="F34" s="568">
        <f>IF(ISNUMBER(INDEX(Database!$L$6:$L$197, MATCH($B34&amp;"USD bn", Database!$AD$6:$AD$197, 0))), INDEX(Database!$L$6:$L$197, MATCH($B34&amp;"USD bn", Database!$AD$6:$AD$197, 0)), "")</f>
        <v>0.57064092967720625</v>
      </c>
      <c r="G34" s="568"/>
      <c r="H34" s="586">
        <f>IF(ISNUMBER(INDEX(Database!$P$6:$P$197, MATCH($B34&amp;"USD bn", Database!$AD$6:$AD$197, 0))), INDEX(Database!$P$6:$P$197, MATCH($B34&amp;"USD bn", Database!$AD$6:$AD$197, 0)), "")</f>
        <v>19.858304352766776</v>
      </c>
      <c r="I34" s="567">
        <f>IF(ISNUMBER(INDEX(Database!$Q$6:$Q$197, MATCH($B34&amp;"USD bn", Database!$AD$6:$AD$197, 0))), INDEX(Database!$Q$6:$Q$197, MATCH($B34&amp;"USD bn", Database!$AD$6:$AD$197, 0)), "")</f>
        <v>1.3695382312252951</v>
      </c>
      <c r="J34" s="567"/>
      <c r="K34" s="567">
        <f>IF(ISNUMBER(INDEX(Database!$U$6:$U$197, MATCH($B34&amp;"USD bn", Database!$AD$6:$AD$197, 0))), INDEX(Database!$U$6:$U$197, MATCH($B34&amp;"USD bn", Database!$AD$6:$AD$197, 0)), "")</f>
        <v>13.923638684123832</v>
      </c>
      <c r="L34" s="567">
        <f>IF(ISNUMBER(INDEX(Database!$W$6:$W$197, MATCH($B34&amp;"USD bn", Database!$AD$6:$AD$197, 0))), INDEX(Database!$W$6:$W$197, MATCH($B34&amp;"USD bn", Database!$AD$6:$AD$197, 0)), "")</f>
        <v>4.56512743741765</v>
      </c>
      <c r="O34" s="587">
        <f>IF(ISNUMBER(INDEX(Database!$G$6:$G$197, MATCH($B34&amp;"% GDP", Database!$AD$6:$AD$197, 0))), INDEX(Database!$G$6:$G$197, MATCH($B34&amp;"% GDP", Database!$AD$6:$AD$197, 0)), "")</f>
        <v>4.7843243517875598</v>
      </c>
      <c r="P34" s="564">
        <f>IF(ISNUMBER(INDEX(Database!$H$6:$H$197, MATCH($B34&amp;"% GDP", Database!$AD$6:$AD$197, 0))), INDEX(Database!$H$6:$H$197, MATCH($B34&amp;"% GDP", Database!$AD$6:$AD$197, 0)), "")</f>
        <v>1.7359052957813266</v>
      </c>
      <c r="Q34" s="564">
        <f>IF(ISNUMBER(INDEX(Database!$J$6:$J$197, MATCH($B34&amp;"% GDP", Database!$AD$6:$AD$197, 0))), INDEX(Database!$J$6:$J$197, MATCH($B34&amp;"% GDP", Database!$AD$6:$AD$197, 0)), "")</f>
        <v>3.0484190560062325</v>
      </c>
      <c r="R34" s="564">
        <f>IF(ISNUMBER(INDEX(Database!$L$6:$L$197, MATCH($B34&amp;"% GDP", Database!$AD$6:$AD$197, 0))), INDEX(Database!$L$6:$L$197, MATCH($B34&amp;"% GDP", Database!$AD$6:$AD$197, 0)), "")</f>
        <v>0.21169576777821061</v>
      </c>
      <c r="S34" s="564"/>
      <c r="T34" s="587">
        <f>IF(ISNUMBER(INDEX(Database!$P$6:$P$197, MATCH($B34&amp;"% GDP", Database!$AD$6:$AD$197, 0))), INDEX(Database!$P$6:$P$197, MATCH($B34&amp;"% GDP", Database!$AD$6:$AD$197, 0)), "")</f>
        <v>7.3670127186817282</v>
      </c>
      <c r="U34" s="564">
        <f>IF(ISNUMBER(INDEX(Database!$Q$6:$Q$197, MATCH($B34&amp;"% GDP", Database!$AD$6:$AD$197, 0))), INDEX(Database!$Q$6:$Q$197, MATCH($B34&amp;"% GDP", Database!$AD$6:$AD$197, 0)), "")</f>
        <v>0.50806984266770538</v>
      </c>
      <c r="V34" s="564"/>
      <c r="W34" s="564">
        <f>IF(ISNUMBER(INDEX(Database!$U$6:$U$197, MATCH($B34&amp;"% GDP", Database!$AD$6:$AD$197, 0))), INDEX(Database!$U$6:$U$197, MATCH($B34&amp;"% GDP", Database!$AD$6:$AD$197, 0)), "")</f>
        <v>5.1653767337883378</v>
      </c>
      <c r="X34" s="564">
        <f>IF(ISNUMBER(INDEX(Database!$W$6:$W$197, MATCH($B34&amp;"% GDP", Database!$AD$6:$AD$197, 0))), INDEX(Database!$W$6:$W$197, MATCH($B34&amp;"% GDP", Database!$AD$6:$AD$197, 0)), "")</f>
        <v>1.6935661422256849</v>
      </c>
    </row>
    <row r="35" spans="2:24">
      <c r="B35" s="563" t="s">
        <v>184</v>
      </c>
      <c r="C35" s="586">
        <f>IF(ISNUMBER(INDEX(Database!$G$6:$G$197, MATCH($B35&amp;"USD bn", Database!$AD$6:$AD$197, 0))), INDEX(Database!$G$6:$G$197, MATCH($B35&amp;"USD bn", Database!$AD$6:$AD$197, 0)), "")</f>
        <v>93.92749702486816</v>
      </c>
      <c r="D35" s="568">
        <f>IF(ISNUMBER(INDEX(Database!$H$6:$H$197, MATCH($B35&amp;"USD bn", Database!$AD$6:$AD$197, 0))), INDEX(Database!$H$6:$H$197, MATCH($B35&amp;"USD bn", Database!$AD$6:$AD$197, 0)), "")</f>
        <v>18.94527886528325</v>
      </c>
      <c r="E35" s="568">
        <f>IF(ISNUMBER(INDEX(Database!$J$6:$J$197, MATCH($B35&amp;"USD bn", Database!$AD$6:$AD$197, 0))), INDEX(Database!$J$6:$J$197, MATCH($B35&amp;"USD bn", Database!$AD$6:$AD$197, 0)), "")</f>
        <v>74.982218159584903</v>
      </c>
      <c r="F35" s="568">
        <f>IF(ISNUMBER(INDEX(Database!$L$6:$L$197, MATCH($B35&amp;"USD bn", Database!$AD$6:$AD$197, 0))), INDEX(Database!$L$6:$L$197, MATCH($B35&amp;"USD bn", Database!$AD$6:$AD$197, 0)), "")</f>
        <v>13.124741382575744</v>
      </c>
      <c r="G35" s="568"/>
      <c r="H35" s="586">
        <f>IF(ISNUMBER(INDEX(Database!$P$6:$P$197, MATCH($B35&amp;"USD bn", Database!$AD$6:$AD$197, 0))), INDEX(Database!$P$6:$P$197, MATCH($B35&amp;"USD bn", Database!$AD$6:$AD$197, 0)), "")</f>
        <v>39.716608705533552</v>
      </c>
      <c r="I35" s="567" t="str">
        <f>IF(ISNUMBER(INDEX(Database!$Q$6:$Q$197, MATCH($B35&amp;"USD bn", Database!$AD$6:$AD$197, 0))), INDEX(Database!$Q$6:$Q$197, MATCH($B35&amp;"USD bn", Database!$AD$6:$AD$197, 0)), "")</f>
        <v/>
      </c>
      <c r="J35" s="567"/>
      <c r="K35" s="567">
        <f>IF(ISNUMBER(INDEX(Database!$U$6:$U$197, MATCH($B35&amp;"USD bn", Database!$AD$6:$AD$197, 0))), INDEX(Database!$U$6:$U$197, MATCH($B35&amp;"USD bn", Database!$AD$6:$AD$197, 0)), "")</f>
        <v>39.716608705533552</v>
      </c>
      <c r="L35" s="567" t="str">
        <f>IF(ISNUMBER(INDEX(Database!$W$6:$W$197, MATCH($B35&amp;"USD bn", Database!$AD$6:$AD$197, 0))), INDEX(Database!$W$6:$W$197, MATCH($B35&amp;"USD bn", Database!$AD$6:$AD$197, 0)), "")</f>
        <v/>
      </c>
      <c r="O35" s="587">
        <f>IF(ISNUMBER(INDEX(Database!$G$6:$G$197, MATCH($B35&amp;"% GDP", Database!$AD$6:$AD$197, 0))), INDEX(Database!$G$6:$G$197, MATCH($B35&amp;"% GDP", Database!$AD$6:$AD$197, 0)), "")</f>
        <v>10.2862785044276</v>
      </c>
      <c r="P35" s="564">
        <f>IF(ISNUMBER(INDEX(Database!$H$6:$H$197, MATCH($B35&amp;"% GDP", Database!$AD$6:$AD$197, 0))), INDEX(Database!$H$6:$H$197, MATCH($B35&amp;"% GDP", Database!$AD$6:$AD$197, 0)), "")</f>
        <v>2.0747536230072678</v>
      </c>
      <c r="Q35" s="564">
        <f>IF(ISNUMBER(INDEX(Database!$J$6:$J$197, MATCH($B35&amp;"% GDP", Database!$AD$6:$AD$197, 0))), INDEX(Database!$J$6:$J$197, MATCH($B35&amp;"% GDP", Database!$AD$6:$AD$197, 0)), "")</f>
        <v>8.2115248814203312</v>
      </c>
      <c r="R35" s="564">
        <f>IF(ISNUMBER(INDEX(Database!$L$6:$L$197, MATCH($B35&amp;"% GDP", Database!$AD$6:$AD$197, 0))), INDEX(Database!$L$6:$L$197, MATCH($B35&amp;"% GDP", Database!$AD$6:$AD$197, 0)), "")</f>
        <v>1.4373293171435892</v>
      </c>
      <c r="S35" s="564"/>
      <c r="T35" s="587">
        <f>IF(ISNUMBER(INDEX(Database!$P$6:$P$197, MATCH($B35&amp;"% GDP", Database!$AD$6:$AD$197, 0))), INDEX(Database!$P$6:$P$197, MATCH($B35&amp;"% GDP", Database!$AD$6:$AD$197, 0)), "")</f>
        <v>4.3494834988345135</v>
      </c>
      <c r="U35" s="564" t="str">
        <f>IF(ISNUMBER(INDEX(Database!$Q$6:$Q$197, MATCH($B35&amp;"% GDP", Database!$AD$6:$AD$197, 0))), INDEX(Database!$Q$6:$Q$197, MATCH($B35&amp;"% GDP", Database!$AD$6:$AD$197, 0)), "")</f>
        <v/>
      </c>
      <c r="V35" s="564"/>
      <c r="W35" s="564">
        <f>IF(ISNUMBER(INDEX(Database!$U$6:$U$197, MATCH($B35&amp;"% GDP", Database!$AD$6:$AD$197, 0))), INDEX(Database!$U$6:$U$197, MATCH($B35&amp;"% GDP", Database!$AD$6:$AD$197, 0)), "")</f>
        <v>4.3494834988345135</v>
      </c>
      <c r="X35" s="564" t="str">
        <f>IF(ISNUMBER(INDEX(Database!$W$6:$W$197, MATCH($B35&amp;"% GDP", Database!$AD$6:$AD$197, 0))), INDEX(Database!$W$6:$W$197, MATCH($B35&amp;"% GDP", Database!$AD$6:$AD$197, 0)), "")</f>
        <v/>
      </c>
    </row>
    <row r="36" spans="2:24">
      <c r="B36" s="563" t="s">
        <v>553</v>
      </c>
      <c r="C36" s="586">
        <f>IF(ISNUMBER(INDEX(Database!$G$6:$G$197, MATCH($B36&amp;"USD bn", Database!$AD$6:$AD$197, 0))), INDEX(Database!$G$6:$G$197, MATCH($B36&amp;"USD bn", Database!$AD$6:$AD$197, 0)), "")</f>
        <v>40.366333649903929</v>
      </c>
      <c r="D36" s="568">
        <f>IF(ISNUMBER(INDEX(Database!$H$6:$H$197, MATCH($B36&amp;"USD bn", Database!$AD$6:$AD$197, 0))), INDEX(Database!$H$6:$H$197, MATCH($B36&amp;"USD bn", Database!$AD$6:$AD$197, 0)), "")</f>
        <v>3.3151095268037039</v>
      </c>
      <c r="E36" s="568">
        <f>IF(ISNUMBER(INDEX(Database!$J$6:$J$197, MATCH($B36&amp;"USD bn", Database!$AD$6:$AD$197, 0))), INDEX(Database!$J$6:$J$197, MATCH($B36&amp;"USD bn", Database!$AD$6:$AD$197, 0)), "")</f>
        <v>37.051224123100226</v>
      </c>
      <c r="F36" s="568" t="str">
        <f>IF(ISNUMBER(INDEX(Database!$L$6:$L$197, MATCH($B36&amp;"USD bn", Database!$AD$6:$AD$197, 0))), INDEX(Database!$L$6:$L$197, MATCH($B36&amp;"USD bn", Database!$AD$6:$AD$197, 0)), "")</f>
        <v/>
      </c>
      <c r="G36" s="568"/>
      <c r="H36" s="586">
        <f>IF(ISNUMBER(INDEX(Database!$P$6:$P$197, MATCH($B36&amp;"USD bn", Database!$AD$6:$AD$197, 0))), INDEX(Database!$P$6:$P$197, MATCH($B36&amp;"USD bn", Database!$AD$6:$AD$197, 0)), "")</f>
        <v>4.0951352978163404</v>
      </c>
      <c r="I36" s="567">
        <f>IF(ISNUMBER(INDEX(Database!$Q$6:$Q$197, MATCH($B36&amp;"USD bn", Database!$AD$6:$AD$197, 0))), INDEX(Database!$Q$6:$Q$197, MATCH($B36&amp;"USD bn", Database!$AD$6:$AD$197, 0)), "")</f>
        <v>2.2100730178691359</v>
      </c>
      <c r="J36" s="567"/>
      <c r="K36" s="567">
        <f>IF(ISNUMBER(INDEX(Database!$U$6:$U$197, MATCH($B36&amp;"USD bn", Database!$AD$6:$AD$197, 0))), INDEX(Database!$U$6:$U$197, MATCH($B36&amp;"USD bn", Database!$AD$6:$AD$197, 0)), "")</f>
        <v>1.8850622799472043</v>
      </c>
      <c r="L36" s="567" t="str">
        <f>IF(ISNUMBER(INDEX(Database!$W$6:$W$197, MATCH($B36&amp;"USD bn", Database!$AD$6:$AD$197, 0))), INDEX(Database!$W$6:$W$197, MATCH($B36&amp;"USD bn", Database!$AD$6:$AD$197, 0)), "")</f>
        <v/>
      </c>
      <c r="O36" s="587">
        <f>IF(ISNUMBER(INDEX(Database!$G$6:$G$197, MATCH($B36&amp;"% GDP", Database!$AD$6:$AD$197, 0))), INDEX(Database!$G$6:$G$197, MATCH($B36&amp;"% GDP", Database!$AD$6:$AD$197, 0)), "")</f>
        <v>19.27864943902545</v>
      </c>
      <c r="P36" s="564">
        <f>IF(ISNUMBER(INDEX(Database!$H$6:$H$197, MATCH($B36&amp;"% GDP", Database!$AD$6:$AD$197, 0))), INDEX(Database!$H$6:$H$197, MATCH($B36&amp;"% GDP", Database!$AD$6:$AD$197, 0)), "")</f>
        <v>1.5832707268764863</v>
      </c>
      <c r="Q36" s="564">
        <f>IF(ISNUMBER(INDEX(Database!$J$6:$J$197, MATCH($B36&amp;"% GDP", Database!$AD$6:$AD$197, 0))), INDEX(Database!$J$6:$J$197, MATCH($B36&amp;"% GDP", Database!$AD$6:$AD$197, 0)), "")</f>
        <v>17.695378712148965</v>
      </c>
      <c r="R36" s="564" t="str">
        <f>IF(ISNUMBER(INDEX(Database!$L$6:$L$197, MATCH($B36&amp;"% GDP", Database!$AD$6:$AD$197, 0))), INDEX(Database!$L$6:$L$197, MATCH($B36&amp;"% GDP", Database!$AD$6:$AD$197, 0)), "")</f>
        <v/>
      </c>
      <c r="S36" s="564"/>
      <c r="T36" s="587">
        <f>IF(ISNUMBER(INDEX(Database!$P$6:$P$197, MATCH($B36&amp;"% GDP", Database!$AD$6:$AD$197, 0))), INDEX(Database!$P$6:$P$197, MATCH($B36&amp;"% GDP", Database!$AD$6:$AD$197, 0)), "")</f>
        <v>1.9558050155533067</v>
      </c>
      <c r="U36" s="564">
        <f>IF(ISNUMBER(INDEX(Database!$Q$6:$Q$197, MATCH($B36&amp;"% GDP", Database!$AD$6:$AD$197, 0))), INDEX(Database!$Q$6:$Q$197, MATCH($B36&amp;"% GDP", Database!$AD$6:$AD$197, 0)), "")</f>
        <v>1.0555138179176575</v>
      </c>
      <c r="V36" s="564"/>
      <c r="W36" s="564">
        <f>IF(ISNUMBER(INDEX(Database!$U$6:$U$197, MATCH($B36&amp;"% GDP", Database!$AD$6:$AD$197, 0))), INDEX(Database!$U$6:$U$197, MATCH($B36&amp;"% GDP", Database!$AD$6:$AD$197, 0)), "")</f>
        <v>0.90029119763564913</v>
      </c>
      <c r="X36" s="564" t="str">
        <f>IF(ISNUMBER(INDEX(Database!$W$6:$W$197, MATCH($B36&amp;"% GDP", Database!$AD$6:$AD$197, 0))), INDEX(Database!$W$6:$W$197, MATCH($B36&amp;"% GDP", Database!$AD$6:$AD$197, 0)), "")</f>
        <v/>
      </c>
    </row>
    <row r="37" spans="2:24">
      <c r="B37" s="563" t="s">
        <v>36</v>
      </c>
      <c r="C37" s="586">
        <f>IF(ISNUMBER(INDEX(Database!$G$6:$G$197, MATCH($B37&amp;"USD bn", Database!$AD$6:$AD$197, 0))), INDEX(Database!$G$6:$G$197, MATCH($B37&amp;"USD bn", Database!$AD$6:$AD$197, 0)), "")</f>
        <v>23.917160810691193</v>
      </c>
      <c r="D37" s="568">
        <f>IF(ISNUMBER(INDEX(Database!$H$6:$H$197, MATCH($B37&amp;"USD bn", Database!$AD$6:$AD$197, 0))), INDEX(Database!$H$6:$H$197, MATCH($B37&amp;"USD bn", Database!$AD$6:$AD$197, 0)), "")</f>
        <v>2.6232409947782966</v>
      </c>
      <c r="E37" s="568">
        <f>IF(ISNUMBER(INDEX(Database!$J$6:$J$197, MATCH($B37&amp;"USD bn", Database!$AD$6:$AD$197, 0))), INDEX(Database!$J$6:$J$197, MATCH($B37&amp;"USD bn", Database!$AD$6:$AD$197, 0)), "")</f>
        <v>21.293919815912897</v>
      </c>
      <c r="F37" s="568" t="str">
        <f>IF(ISNUMBER(INDEX(Database!$L$6:$L$197, MATCH($B37&amp;"USD bn", Database!$AD$6:$AD$197, 0))), INDEX(Database!$L$6:$L$197, MATCH($B37&amp;"USD bn", Database!$AD$6:$AD$197, 0)), "")</f>
        <v/>
      </c>
      <c r="G37" s="568"/>
      <c r="H37" s="586">
        <f>IF(ISNUMBER(INDEX(Database!$P$6:$P$197, MATCH($B37&amp;"USD bn", Database!$AD$6:$AD$197, 0))), INDEX(Database!$P$6:$P$197, MATCH($B37&amp;"USD bn", Database!$AD$6:$AD$197, 0)), "")</f>
        <v>14.603062217895378</v>
      </c>
      <c r="I37" s="567">
        <f>IF(ISNUMBER(INDEX(Database!$Q$6:$Q$197, MATCH($B37&amp;"USD bn", Database!$AD$6:$AD$197, 0))), INDEX(Database!$Q$6:$Q$197, MATCH($B37&amp;"USD bn", Database!$AD$6:$AD$197, 0)), "")</f>
        <v>6.3191432870165452</v>
      </c>
      <c r="J37" s="567"/>
      <c r="K37" s="567">
        <f>IF(ISNUMBER(INDEX(Database!$U$6:$U$197, MATCH($B37&amp;"USD bn", Database!$AD$6:$AD$197, 0))), INDEX(Database!$U$6:$U$197, MATCH($B37&amp;"USD bn", Database!$AD$6:$AD$197, 0)), "")</f>
        <v>8.2839189308788317</v>
      </c>
      <c r="L37" s="567" t="str">
        <f>IF(ISNUMBER(INDEX(Database!$W$6:$W$197, MATCH($B37&amp;"USD bn", Database!$AD$6:$AD$197, 0))), INDEX(Database!$W$6:$W$197, MATCH($B37&amp;"USD bn", Database!$AD$6:$AD$197, 0)), "")</f>
        <v/>
      </c>
      <c r="O37" s="587">
        <f>IF(ISNUMBER(INDEX(Database!$G$6:$G$197, MATCH($B37&amp;"% GDP", Database!$AD$6:$AD$197, 0))), INDEX(Database!$G$6:$G$197, MATCH($B37&amp;"% GDP", Database!$AD$6:$AD$197, 0)), "")</f>
        <v>7.4022943167997886</v>
      </c>
      <c r="P37" s="564">
        <f>IF(ISNUMBER(INDEX(Database!$H$6:$H$197, MATCH($B37&amp;"% GDP", Database!$AD$6:$AD$197, 0))), INDEX(Database!$H$6:$H$197, MATCH($B37&amp;"% GDP", Database!$AD$6:$AD$197, 0)), "")</f>
        <v>0.81188574433816507</v>
      </c>
      <c r="Q37" s="564">
        <f>IF(ISNUMBER(INDEX(Database!$J$6:$J$197, MATCH($B37&amp;"% GDP", Database!$AD$6:$AD$197, 0))), INDEX(Database!$J$6:$J$197, MATCH($B37&amp;"% GDP", Database!$AD$6:$AD$197, 0)), "")</f>
        <v>6.5904085724616239</v>
      </c>
      <c r="R37" s="564" t="str">
        <f>IF(ISNUMBER(INDEX(Database!$L$6:$L$197, MATCH($B37&amp;"% GDP", Database!$AD$6:$AD$197, 0))), INDEX(Database!$L$6:$L$197, MATCH($B37&amp;"% GDP", Database!$AD$6:$AD$197, 0)), "")</f>
        <v/>
      </c>
      <c r="S37" s="564"/>
      <c r="T37" s="587">
        <f>IF(ISNUMBER(INDEX(Database!$P$6:$P$197, MATCH($B37&amp;"% GDP", Database!$AD$6:$AD$197, 0))), INDEX(Database!$P$6:$P$197, MATCH($B37&amp;"% GDP", Database!$AD$6:$AD$197, 0)), "")</f>
        <v>4.5196068763764252</v>
      </c>
      <c r="U37" s="564">
        <f>IF(ISNUMBER(INDEX(Database!$Q$6:$Q$197, MATCH($B37&amp;"% GDP", Database!$AD$6:$AD$197, 0))), INDEX(Database!$Q$6:$Q$197, MATCH($B37&amp;"% GDP", Database!$AD$6:$AD$197, 0)), "")</f>
        <v>1.9557571574137986</v>
      </c>
      <c r="V37" s="564"/>
      <c r="W37" s="564">
        <f>IF(ISNUMBER(INDEX(Database!$U$6:$U$197, MATCH($B37&amp;"% GDP", Database!$AD$6:$AD$197, 0))), INDEX(Database!$U$6:$U$197, MATCH($B37&amp;"% GDP", Database!$AD$6:$AD$197, 0)), "")</f>
        <v>2.563849718962627</v>
      </c>
      <c r="X37" s="564" t="str">
        <f>IF(ISNUMBER(INDEX(Database!$W$6:$W$197, MATCH($B37&amp;"% GDP", Database!$AD$6:$AD$197, 0))), INDEX(Database!$W$6:$W$197, MATCH($B37&amp;"% GDP", Database!$AD$6:$AD$197, 0)), "")</f>
        <v/>
      </c>
    </row>
    <row r="38" spans="2:24">
      <c r="B38" s="563" t="s">
        <v>31</v>
      </c>
      <c r="C38" s="586">
        <f>IF(ISNUMBER(INDEX(Database!$G$6:$G$197, MATCH($B38&amp;"USD bn", Database!$AD$6:$AD$197, 0))), INDEX(Database!$G$6:$G$197, MATCH($B38&amp;"USD bn", Database!$AD$6:$AD$197, 0)), "")</f>
        <v>62.546527888588585</v>
      </c>
      <c r="D38" s="568">
        <f>IF(ISNUMBER(INDEX(Database!$H$6:$H$197, MATCH($B38&amp;"USD bn", Database!$AD$6:$AD$197, 0))), INDEX(Database!$H$6:$H$197, MATCH($B38&amp;"USD bn", Database!$AD$6:$AD$197, 0)), "")</f>
        <v>13.480479938907852</v>
      </c>
      <c r="E38" s="568">
        <f>IF(ISNUMBER(INDEX(Database!$J$6:$J$197, MATCH($B38&amp;"USD bn", Database!$AD$6:$AD$197, 0))), INDEX(Database!$J$6:$J$197, MATCH($B38&amp;"USD bn", Database!$AD$6:$AD$197, 0)), "")</f>
        <v>49.06604794968073</v>
      </c>
      <c r="F38" s="568" t="str">
        <f>IF(ISNUMBER(INDEX(Database!$L$6:$L$197, MATCH($B38&amp;"USD bn", Database!$AD$6:$AD$197, 0))), INDEX(Database!$L$6:$L$197, MATCH($B38&amp;"USD bn", Database!$AD$6:$AD$197, 0)), "")</f>
        <v/>
      </c>
      <c r="G38" s="568"/>
      <c r="H38" s="586">
        <f>IF(ISNUMBER(INDEX(Database!$P$6:$P$197, MATCH($B38&amp;"USD bn", Database!$AD$6:$AD$197, 0))), INDEX(Database!$P$6:$P$197, MATCH($B38&amp;"USD bn", Database!$AD$6:$AD$197, 0)), "")</f>
        <v>15.94465369118133</v>
      </c>
      <c r="I38" s="567">
        <f>IF(ISNUMBER(INDEX(Database!$Q$6:$Q$197, MATCH($B38&amp;"USD bn", Database!$AD$6:$AD$197, 0))), INDEX(Database!$Q$6:$Q$197, MATCH($B38&amp;"USD bn", Database!$AD$6:$AD$197, 0)), "")</f>
        <v>15.94465369118133</v>
      </c>
      <c r="J38" s="567"/>
      <c r="K38" s="567" t="str">
        <f>IF(ISNUMBER(INDEX(Database!$U$6:$U$197, MATCH($B38&amp;"USD bn", Database!$AD$6:$AD$197, 0))), INDEX(Database!$U$6:$U$197, MATCH($B38&amp;"USD bn", Database!$AD$6:$AD$197, 0)), "")</f>
        <v/>
      </c>
      <c r="L38" s="567" t="str">
        <f>IF(ISNUMBER(INDEX(Database!$W$6:$W$197, MATCH($B38&amp;"USD bn", Database!$AD$6:$AD$197, 0))), INDEX(Database!$W$6:$W$197, MATCH($B38&amp;"USD bn", Database!$AD$6:$AD$197, 0)), "")</f>
        <v/>
      </c>
      <c r="O38" s="587">
        <f>IF(ISNUMBER(INDEX(Database!$G$6:$G$197, MATCH($B38&amp;"% GDP", Database!$AD$6:$AD$197, 0))), INDEX(Database!$G$6:$G$197, MATCH($B38&amp;"% GDP", Database!$AD$6:$AD$197, 0)), "")</f>
        <v>18.39709108521307</v>
      </c>
      <c r="P38" s="564">
        <f>IF(ISNUMBER(INDEX(Database!$H$6:$H$197, MATCH($B38&amp;"% GDP", Database!$AD$6:$AD$197, 0))), INDEX(Database!$H$6:$H$197, MATCH($B38&amp;"% GDP", Database!$AD$6:$AD$197, 0)), "")</f>
        <v>3.9650740925256436</v>
      </c>
      <c r="Q38" s="564">
        <f>IF(ISNUMBER(INDEX(Database!$J$6:$J$197, MATCH($B38&amp;"% GDP", Database!$AD$6:$AD$197, 0))), INDEX(Database!$J$6:$J$197, MATCH($B38&amp;"% GDP", Database!$AD$6:$AD$197, 0)), "")</f>
        <v>14.432016992687425</v>
      </c>
      <c r="R38" s="564" t="str">
        <f>IF(ISNUMBER(INDEX(Database!$L$6:$L$197, MATCH($B38&amp;"% GDP", Database!$AD$6:$AD$197, 0))), INDEX(Database!$L$6:$L$197, MATCH($B38&amp;"% GDP", Database!$AD$6:$AD$197, 0)), "")</f>
        <v/>
      </c>
      <c r="S38" s="564"/>
      <c r="T38" s="587">
        <f>IF(ISNUMBER(INDEX(Database!$P$6:$P$197, MATCH($B38&amp;"% GDP", Database!$AD$6:$AD$197, 0))), INDEX(Database!$P$6:$P$197, MATCH($B38&amp;"% GDP", Database!$AD$6:$AD$197, 0)), "")</f>
        <v>4.6898725825572125</v>
      </c>
      <c r="U38" s="564">
        <f>IF(ISNUMBER(INDEX(Database!$Q$6:$Q$197, MATCH($B38&amp;"% GDP", Database!$AD$6:$AD$197, 0))), INDEX(Database!$Q$6:$Q$197, MATCH($B38&amp;"% GDP", Database!$AD$6:$AD$197, 0)), "")</f>
        <v>4.6898725825572125</v>
      </c>
      <c r="V38" s="564"/>
      <c r="W38" s="564" t="str">
        <f>IF(ISNUMBER(INDEX(Database!$U$6:$U$197, MATCH($B38&amp;"% GDP", Database!$AD$6:$AD$197, 0))), INDEX(Database!$U$6:$U$197, MATCH($B38&amp;"% GDP", Database!$AD$6:$AD$197, 0)), "")</f>
        <v/>
      </c>
      <c r="X38" s="564" t="str">
        <f>IF(ISNUMBER(INDEX(Database!$W$6:$W$197, MATCH($B38&amp;"% GDP", Database!$AD$6:$AD$197, 0))), INDEX(Database!$W$6:$W$197, MATCH($B38&amp;"% GDP", Database!$AD$6:$AD$197, 0)), "")</f>
        <v/>
      </c>
    </row>
    <row r="39" spans="2:24">
      <c r="B39" s="563" t="s">
        <v>21</v>
      </c>
      <c r="C39" s="586">
        <f>IF(ISNUMBER(INDEX(Database!$G$6:$G$197, MATCH($B39&amp;"USD bn", Database!$AD$6:$AD$197, 0))), INDEX(Database!$G$6:$G$197, MATCH($B39&amp;"USD bn", Database!$AD$6:$AD$197, 0)), "")</f>
        <v>22.474815922163589</v>
      </c>
      <c r="D39" s="568">
        <f>IF(ISNUMBER(INDEX(Database!$H$6:$H$197, MATCH($B39&amp;"USD bn", Database!$AD$6:$AD$197, 0))), INDEX(Database!$H$6:$H$197, MATCH($B39&amp;"USD bn", Database!$AD$6:$AD$197, 0)), "")</f>
        <v>4.125811618561432</v>
      </c>
      <c r="E39" s="568">
        <f>IF(ISNUMBER(INDEX(Database!$J$6:$J$197, MATCH($B39&amp;"USD bn", Database!$AD$6:$AD$197, 0))), INDEX(Database!$J$6:$J$197, MATCH($B39&amp;"USD bn", Database!$AD$6:$AD$197, 0)), "")</f>
        <v>18.349004303602158</v>
      </c>
      <c r="F39" s="568">
        <f>IF(ISNUMBER(INDEX(Database!$L$6:$L$197, MATCH($B39&amp;"USD bn", Database!$AD$6:$AD$197, 0))), INDEX(Database!$L$6:$L$197, MATCH($B39&amp;"USD bn", Database!$AD$6:$AD$197, 0)), "")</f>
        <v>36.372286637317892</v>
      </c>
      <c r="G39" s="568"/>
      <c r="H39" s="586">
        <f>IF(ISNUMBER(INDEX(Database!$P$6:$P$197, MATCH($B39&amp;"USD bn", Database!$AD$6:$AD$197, 0))), INDEX(Database!$P$6:$P$197, MATCH($B39&amp;"USD bn", Database!$AD$6:$AD$197, 0)), "")</f>
        <v>28.413813173092809</v>
      </c>
      <c r="I39" s="567">
        <f>IF(ISNUMBER(INDEX(Database!$Q$6:$Q$197, MATCH($B39&amp;"USD bn", Database!$AD$6:$AD$197, 0))), INDEX(Database!$Q$6:$Q$197, MATCH($B39&amp;"USD bn", Database!$AD$6:$AD$197, 0)), "")</f>
        <v>1.2703156825570725</v>
      </c>
      <c r="J39" s="567"/>
      <c r="K39" s="567">
        <f>IF(ISNUMBER(INDEX(Database!$U$6:$U$197, MATCH($B39&amp;"USD bn", Database!$AD$6:$AD$197, 0))), INDEX(Database!$U$6:$U$197, MATCH($B39&amp;"USD bn", Database!$AD$6:$AD$197, 0)), "")</f>
        <v>27.143497490535736</v>
      </c>
      <c r="L39" s="567" t="str">
        <f>IF(ISNUMBER(INDEX(Database!$W$6:$W$197, MATCH($B39&amp;"USD bn", Database!$AD$6:$AD$197, 0))), INDEX(Database!$W$6:$W$197, MATCH($B39&amp;"USD bn", Database!$AD$6:$AD$197, 0)), "")</f>
        <v/>
      </c>
      <c r="O39" s="587">
        <f>IF(ISNUMBER(INDEX(Database!$G$6:$G$197, MATCH($B39&amp;"% GDP", Database!$AD$6:$AD$197, 0))), INDEX(Database!$G$6:$G$197, MATCH($B39&amp;"% GDP", Database!$AD$6:$AD$197, 0)), "")</f>
        <v>4.1538214254109116</v>
      </c>
      <c r="P39" s="564">
        <f>IF(ISNUMBER(INDEX(Database!$H$6:$H$197, MATCH($B39&amp;"% GDP", Database!$AD$6:$AD$197, 0))), INDEX(Database!$H$6:$H$197, MATCH($B39&amp;"% GDP", Database!$AD$6:$AD$197, 0)), "")</f>
        <v>0.76253726650055398</v>
      </c>
      <c r="Q39" s="564">
        <f>IF(ISNUMBER(INDEX(Database!$J$6:$J$197, MATCH($B39&amp;"% GDP", Database!$AD$6:$AD$197, 0))), INDEX(Database!$J$6:$J$197, MATCH($B39&amp;"% GDP", Database!$AD$6:$AD$197, 0)), "")</f>
        <v>3.3912841589103584</v>
      </c>
      <c r="R39" s="564">
        <f>IF(ISNUMBER(INDEX(Database!$L$6:$L$197, MATCH($B39&amp;"% GDP", Database!$AD$6:$AD$197, 0))), INDEX(Database!$L$6:$L$197, MATCH($B39&amp;"% GDP", Database!$AD$6:$AD$197, 0)), "")</f>
        <v>6.7223680073075149</v>
      </c>
      <c r="S39" s="564"/>
      <c r="T39" s="587">
        <f>IF(ISNUMBER(INDEX(Database!$P$6:$P$197, MATCH($B39&amp;"% GDP", Database!$AD$6:$AD$197, 0))), INDEX(Database!$P$6:$P$197, MATCH($B39&amp;"% GDP", Database!$AD$6:$AD$197, 0)), "")</f>
        <v>5.2514737537682885</v>
      </c>
      <c r="U39" s="564">
        <f>IF(ISNUMBER(INDEX(Database!$Q$6:$Q$197, MATCH($B39&amp;"% GDP", Database!$AD$6:$AD$197, 0))), INDEX(Database!$Q$6:$Q$197, MATCH($B39&amp;"% GDP", Database!$AD$6:$AD$197, 0)), "")</f>
        <v>0.2347812110014863</v>
      </c>
      <c r="V39" s="564"/>
      <c r="W39" s="564">
        <f>IF(ISNUMBER(INDEX(Database!$U$6:$U$197, MATCH($B39&amp;"% GDP", Database!$AD$6:$AD$197, 0))), INDEX(Database!$U$6:$U$197, MATCH($B39&amp;"% GDP", Database!$AD$6:$AD$197, 0)), "")</f>
        <v>5.0166925427668021</v>
      </c>
      <c r="X39" s="564" t="str">
        <f>IF(ISNUMBER(INDEX(Database!$W$6:$W$197, MATCH($B39&amp;"% GDP", Database!$AD$6:$AD$197, 0))), INDEX(Database!$W$6:$W$197, MATCH($B39&amp;"% GDP", Database!$AD$6:$AD$197, 0)), "")</f>
        <v/>
      </c>
    </row>
    <row r="40" spans="2:24">
      <c r="B40" s="563" t="s">
        <v>558</v>
      </c>
      <c r="C40" s="586">
        <f>IF(ISNUMBER(INDEX(Database!$G$6:$G$197, MATCH($B40&amp;"USD bn", Database!$AD$6:$AD$197, 0))), INDEX(Database!$G$6:$G$197, MATCH($B40&amp;"USD bn", Database!$AD$6:$AD$197, 0)), "")</f>
        <v>59.481808256628398</v>
      </c>
      <c r="D40" s="568">
        <f>IF(ISNUMBER(INDEX(Database!$H$6:$H$197, MATCH($B40&amp;"USD bn", Database!$AD$6:$AD$197, 0))), INDEX(Database!$H$6:$H$197, MATCH($B40&amp;"USD bn", Database!$AD$6:$AD$197, 0)), "")</f>
        <v>7.6892624776985965</v>
      </c>
      <c r="E40" s="568">
        <f>IF(ISNUMBER(INDEX(Database!$J$6:$J$197, MATCH($B40&amp;"USD bn", Database!$AD$6:$AD$197, 0))), INDEX(Database!$J$6:$J$197, MATCH($B40&amp;"USD bn", Database!$AD$6:$AD$197, 0)), "")</f>
        <v>51.792545778929799</v>
      </c>
      <c r="F40" s="568" t="str">
        <f>IF(ISNUMBER(INDEX(Database!$L$6:$L$197, MATCH($B40&amp;"USD bn", Database!$AD$6:$AD$197, 0))), INDEX(Database!$L$6:$L$197, MATCH($B40&amp;"USD bn", Database!$AD$6:$AD$197, 0)), "")</f>
        <v/>
      </c>
      <c r="G40" s="568"/>
      <c r="H40" s="586">
        <f>IF(ISNUMBER(INDEX(Database!$P$6:$P$197, MATCH($B40&amp;"USD bn", Database!$AD$6:$AD$197, 0))), INDEX(Database!$P$6:$P$197, MATCH($B40&amp;"USD bn", Database!$AD$6:$AD$197, 0)), "")</f>
        <v>46.733119713121745</v>
      </c>
      <c r="I40" s="567">
        <f>IF(ISNUMBER(INDEX(Database!$Q$6:$Q$197, MATCH($B40&amp;"USD bn", Database!$AD$6:$AD$197, 0))), INDEX(Database!$Q$6:$Q$197, MATCH($B40&amp;"USD bn", Database!$AD$6:$AD$197, 0)), "")</f>
        <v>1.1716565626081807</v>
      </c>
      <c r="J40" s="567"/>
      <c r="K40" s="567">
        <f>IF(ISNUMBER(INDEX(Database!$U$6:$U$197, MATCH($B40&amp;"USD bn", Database!$AD$6:$AD$197, 0))), INDEX(Database!$U$6:$U$197, MATCH($B40&amp;"USD bn", Database!$AD$6:$AD$197, 0)), "")</f>
        <v>45.561463150513568</v>
      </c>
      <c r="L40" s="567" t="str">
        <f>IF(ISNUMBER(INDEX(Database!$W$6:$W$197, MATCH($B40&amp;"USD bn", Database!$AD$6:$AD$197, 0))), INDEX(Database!$W$6:$W$197, MATCH($B40&amp;"USD bn", Database!$AD$6:$AD$197, 0)), "")</f>
        <v/>
      </c>
      <c r="O40" s="587">
        <f>IF(ISNUMBER(INDEX(Database!$G$6:$G$197, MATCH($B40&amp;"% GDP", Database!$AD$6:$AD$197, 0))), INDEX(Database!$G$6:$G$197, MATCH($B40&amp;"% GDP", Database!$AD$6:$AD$197, 0)), "")</f>
        <v>7.9111095244692748</v>
      </c>
      <c r="P40" s="564">
        <f>IF(ISNUMBER(INDEX(Database!$H$6:$H$197, MATCH($B40&amp;"% GDP", Database!$AD$6:$AD$197, 0))), INDEX(Database!$H$6:$H$197, MATCH($B40&amp;"% GDP", Database!$AD$6:$AD$197, 0)), "")</f>
        <v>1.0226756617925596</v>
      </c>
      <c r="Q40" s="564">
        <f>IF(ISNUMBER(INDEX(Database!$J$6:$J$197, MATCH($B40&amp;"% GDP", Database!$AD$6:$AD$197, 0))), INDEX(Database!$J$6:$J$197, MATCH($B40&amp;"% GDP", Database!$AD$6:$AD$197, 0)), "")</f>
        <v>6.8884338626767159</v>
      </c>
      <c r="R40" s="564" t="str">
        <f>IF(ISNUMBER(INDEX(Database!$L$6:$L$197, MATCH($B40&amp;"% GDP", Database!$AD$6:$AD$197, 0))), INDEX(Database!$L$6:$L$197, MATCH($B40&amp;"% GDP", Database!$AD$6:$AD$197, 0)), "")</f>
        <v/>
      </c>
      <c r="S40" s="564"/>
      <c r="T40" s="587">
        <f>IF(ISNUMBER(INDEX(Database!$P$6:$P$197, MATCH($B40&amp;"% GDP", Database!$AD$6:$AD$197, 0))), INDEX(Database!$P$6:$P$197, MATCH($B40&amp;"% GDP", Database!$AD$6:$AD$197, 0)), "")</f>
        <v>6.2155277269910725</v>
      </c>
      <c r="U40" s="564">
        <f>IF(ISNUMBER(INDEX(Database!$Q$6:$Q$197, MATCH($B40&amp;"% GDP", Database!$AD$6:$AD$197, 0))), INDEX(Database!$Q$6:$Q$197, MATCH($B40&amp;"% GDP", Database!$AD$6:$AD$197, 0)), "")</f>
        <v>0.15583089457983315</v>
      </c>
      <c r="V40" s="564"/>
      <c r="W40" s="564">
        <f>IF(ISNUMBER(INDEX(Database!$U$6:$U$197, MATCH($B40&amp;"% GDP", Database!$AD$6:$AD$197, 0))), INDEX(Database!$U$6:$U$197, MATCH($B40&amp;"% GDP", Database!$AD$6:$AD$197, 0)), "")</f>
        <v>6.0596968324112392</v>
      </c>
      <c r="X40" s="564" t="str">
        <f>IF(ISNUMBER(INDEX(Database!$W$6:$W$197, MATCH($B40&amp;"% GDP", Database!$AD$6:$AD$197, 0))), INDEX(Database!$W$6:$W$197, MATCH($B40&amp;"% GDP", Database!$AD$6:$AD$197, 0)), "")</f>
        <v/>
      </c>
    </row>
    <row r="41" spans="2:24">
      <c r="B41" s="565" t="s">
        <v>870</v>
      </c>
      <c r="C41" s="586"/>
      <c r="D41" s="568"/>
      <c r="E41" s="568"/>
      <c r="F41" s="568"/>
      <c r="G41" s="568"/>
      <c r="H41" s="586"/>
      <c r="I41" s="567" t="str">
        <f>IF(ISNUMBER(INDEX(Database!$Q$6:$Q$197, MATCH($B41&amp;"USD bn", Database!$AD$6:$AD$197, 0))), INDEX(Database!$Q$6:$Q$197, MATCH($B41&amp;"USD bn", Database!$AD$6:$AD$197, 0)), "")</f>
        <v/>
      </c>
      <c r="J41" s="567"/>
      <c r="K41" s="567" t="str">
        <f>IF(ISNUMBER(INDEX(Database!$U$6:$U$197, MATCH($B41&amp;"USD bn", Database!$AD$6:$AD$197, 0))), INDEX(Database!$U$6:$U$197, MATCH($B41&amp;"USD bn", Database!$AD$6:$AD$197, 0)), "")</f>
        <v/>
      </c>
      <c r="L41" s="567" t="str">
        <f>IF(ISNUMBER(INDEX(Database!$W$6:$W$197, MATCH($B41&amp;"USD bn", Database!$AD$6:$AD$197, 0))), INDEX(Database!$W$6:$W$197, MATCH($B41&amp;"USD bn", Database!$AD$6:$AD$197, 0)), "")</f>
        <v/>
      </c>
      <c r="O41" s="587" t="str">
        <f>IF(ISNUMBER(INDEX(Database!$G$6:$G$197, MATCH($B41&amp;"% GDP", Database!$AD$6:$AD$197, 0))), INDEX(Database!$G$6:$G$197, MATCH($B41&amp;"% GDP", Database!$AD$6:$AD$197, 0)), "")</f>
        <v/>
      </c>
      <c r="P41" s="564" t="str">
        <f>IF(ISNUMBER(INDEX(Database!$H$6:$H$197, MATCH($B41&amp;"% GDP", Database!$AD$6:$AD$197, 0))), INDEX(Database!$H$6:$H$197, MATCH($B41&amp;"% GDP", Database!$AD$6:$AD$197, 0)), "")</f>
        <v/>
      </c>
      <c r="Q41" s="564" t="str">
        <f>IF(ISNUMBER(INDEX(Database!$J$6:$J$197, MATCH($B41&amp;"% GDP", Database!$AD$6:$AD$197, 0))), INDEX(Database!$J$6:$J$197, MATCH($B41&amp;"% GDP", Database!$AD$6:$AD$197, 0)), "")</f>
        <v/>
      </c>
      <c r="R41" s="564" t="str">
        <f>IF(ISNUMBER(INDEX(Database!$L$6:$L$197, MATCH($B41&amp;"% GDP", Database!$AD$6:$AD$197, 0))), INDEX(Database!$L$6:$L$197, MATCH($B41&amp;"% GDP", Database!$AD$6:$AD$197, 0)), "")</f>
        <v/>
      </c>
      <c r="S41" s="564"/>
      <c r="T41" s="587" t="str">
        <f>IF(ISNUMBER(INDEX(Database!$P$6:$P$197, MATCH($B41&amp;"% GDP", Database!$AD$6:$AD$197, 0))), INDEX(Database!$P$6:$P$197, MATCH($B41&amp;"% GDP", Database!$AD$6:$AD$197, 0)), "")</f>
        <v/>
      </c>
      <c r="U41" s="564" t="str">
        <f>IF(ISNUMBER(INDEX(Database!$Q$6:$Q$197, MATCH($B41&amp;"% GDP", Database!$AD$6:$AD$197, 0))), INDEX(Database!$Q$6:$Q$197, MATCH($B41&amp;"% GDP", Database!$AD$6:$AD$197, 0)), "")</f>
        <v/>
      </c>
      <c r="V41" s="564"/>
      <c r="W41" s="564" t="str">
        <f>IF(ISNUMBER(INDEX(Database!$U$6:$U$197, MATCH($B41&amp;"% GDP", Database!$AD$6:$AD$197, 0))), INDEX(Database!$U$6:$U$197, MATCH($B41&amp;"% GDP", Database!$AD$6:$AD$197, 0)), "")</f>
        <v/>
      </c>
      <c r="X41" s="564" t="str">
        <f>IF(ISNUMBER(INDEX(Database!$W$6:$W$197, MATCH($B41&amp;"% GDP", Database!$AD$6:$AD$197, 0))), INDEX(Database!$W$6:$W$197, MATCH($B41&amp;"% GDP", Database!$AD$6:$AD$197, 0)), "")</f>
        <v/>
      </c>
    </row>
    <row r="42" spans="2:24">
      <c r="B42" s="562" t="s">
        <v>41</v>
      </c>
      <c r="C42" s="588">
        <f>IF(ISNUMBER(INDEX(Database!$G$6:$G$197, MATCH($B42&amp;"USD bn", Database!$AD$6:$AD$197, 0))), INDEX(Database!$G$6:$G$197, MATCH($B42&amp;"USD bn", Database!$AD$6:$AD$197, 0)), "")</f>
        <v>0.33382004491368428</v>
      </c>
      <c r="D42" s="567">
        <f>IF(ISNUMBER(INDEX(Database!$H$6:$H$197, MATCH($B42&amp;"USD bn", Database!$AD$6:$AD$197, 0))), INDEX(Database!$H$6:$H$197, MATCH($B42&amp;"USD bn", Database!$AD$6:$AD$197, 0)), "")</f>
        <v>0.16783217727704566</v>
      </c>
      <c r="E42" s="567">
        <f>IF(ISNUMBER(INDEX(Database!$J$6:$J$197, MATCH($B42&amp;"USD bn", Database!$AD$6:$AD$197, 0))), INDEX(Database!$J$6:$J$197, MATCH($B42&amp;"USD bn", Database!$AD$6:$AD$197, 0)), "")</f>
        <v>0.16598786763663859</v>
      </c>
      <c r="F42" s="567" t="str">
        <f>IF(ISNUMBER(INDEX(Database!$L$6:$L$197, MATCH($B42&amp;"USD bn", Database!$AD$6:$AD$197, 0))), INDEX(Database!$L$6:$L$197, MATCH($B42&amp;"USD bn", Database!$AD$6:$AD$197, 0)), "")</f>
        <v/>
      </c>
      <c r="G42" s="567"/>
      <c r="H42" s="588">
        <f>IF(ISNUMBER(INDEX(Database!$P$6:$P$197, MATCH($B42&amp;"USD bn", Database!$AD$6:$AD$197, 0))), INDEX(Database!$P$6:$P$197, MATCH($B42&amp;"USD bn", Database!$AD$6:$AD$197, 0)), "")</f>
        <v>0.23976025325292241</v>
      </c>
      <c r="I42" s="567" t="str">
        <f>IF(ISNUMBER(INDEX(Database!$Q$6:$Q$197, MATCH($B42&amp;"USD bn", Database!$AD$6:$AD$197, 0))), INDEX(Database!$Q$6:$Q$197, MATCH($B42&amp;"USD bn", Database!$AD$6:$AD$197, 0)), "")</f>
        <v/>
      </c>
      <c r="J42" s="567"/>
      <c r="K42" s="567">
        <f>IF(ISNUMBER(INDEX(Database!$U$6:$U$197, MATCH($B42&amp;"USD bn", Database!$AD$6:$AD$197, 0))), INDEX(Database!$U$6:$U$197, MATCH($B42&amp;"USD bn", Database!$AD$6:$AD$197, 0)), "")</f>
        <v>0.23976025325292241</v>
      </c>
      <c r="L42" s="567" t="str">
        <f>IF(ISNUMBER(INDEX(Database!$W$6:$W$197, MATCH($B42&amp;"USD bn", Database!$AD$6:$AD$197, 0))), INDEX(Database!$W$6:$W$197, MATCH($B42&amp;"USD bn", Database!$AD$6:$AD$197, 0)), "")</f>
        <v/>
      </c>
      <c r="O42" s="587">
        <f>IF(ISNUMBER(INDEX(Database!$G$6:$G$197, MATCH($B42&amp;"% GDP", Database!$AD$6:$AD$197, 0))), INDEX(Database!$G$6:$G$197, MATCH($B42&amp;"% GDP", Database!$AD$6:$AD$197, 0)), "")</f>
        <v>2.2512745821149296</v>
      </c>
      <c r="P42" s="564">
        <f>IF(ISNUMBER(INDEX(Database!$H$6:$H$197, MATCH($B42&amp;"% GDP", Database!$AD$6:$AD$197, 0))), INDEX(Database!$H$6:$H$197, MATCH($B42&amp;"% GDP", Database!$AD$6:$AD$197, 0)), "")</f>
        <v>1.1318562816157931</v>
      </c>
      <c r="Q42" s="564">
        <f>IF(ISNUMBER(INDEX(Database!$J$6:$J$197, MATCH($B42&amp;"% GDP", Database!$AD$6:$AD$197, 0))), INDEX(Database!$J$6:$J$197, MATCH($B42&amp;"% GDP", Database!$AD$6:$AD$197, 0)), "")</f>
        <v>1.119418300499136</v>
      </c>
      <c r="R42" s="564" t="str">
        <f>IF(ISNUMBER(INDEX(Database!$L$6:$L$197, MATCH($B42&amp;"% GDP", Database!$AD$6:$AD$197, 0))), INDEX(Database!$L$6:$L$197, MATCH($B42&amp;"% GDP", Database!$AD$6:$AD$197, 0)), "")</f>
        <v/>
      </c>
      <c r="S42" s="564"/>
      <c r="T42" s="587">
        <f>IF(ISNUMBER(INDEX(Database!$P$6:$P$197, MATCH($B42&amp;"% GDP", Database!$AD$6:$AD$197, 0))), INDEX(Database!$P$6:$P$197, MATCH($B42&amp;"% GDP", Database!$AD$6:$AD$197, 0)), "")</f>
        <v>1.6169375451654189</v>
      </c>
      <c r="U42" s="564" t="str">
        <f>IF(ISNUMBER(INDEX(Database!$Q$6:$Q$197, MATCH($B42&amp;"% GDP", Database!$AD$6:$AD$197, 0))), INDEX(Database!$Q$6:$Q$197, MATCH($B42&amp;"% GDP", Database!$AD$6:$AD$197, 0)), "")</f>
        <v/>
      </c>
      <c r="V42" s="564"/>
      <c r="W42" s="564">
        <f>IF(ISNUMBER(INDEX(Database!$U$6:$U$197, MATCH($B42&amp;"% GDP", Database!$AD$6:$AD$197, 0))), INDEX(Database!$U$6:$U$197, MATCH($B42&amp;"% GDP", Database!$AD$6:$AD$197, 0)), "")</f>
        <v>1.6169375451654189</v>
      </c>
      <c r="X42" s="564" t="str">
        <f>IF(ISNUMBER(INDEX(Database!$W$6:$W$197, MATCH($B42&amp;"% GDP", Database!$AD$6:$AD$197, 0))), INDEX(Database!$W$6:$W$197, MATCH($B42&amp;"% GDP", Database!$AD$6:$AD$197, 0)), "")</f>
        <v/>
      </c>
    </row>
    <row r="43" spans="2:24" s="479" customFormat="1">
      <c r="B43" s="562" t="s">
        <v>1039</v>
      </c>
      <c r="C43" s="588" t="str">
        <f>IF(ISNUMBER(INDEX(Database!$G$6:$G$197, MATCH($B43&amp;"USD bn", Database!$AD$6:$AD$197, 0))), INDEX(Database!$G$6:$G$197, MATCH($B43&amp;"USD bn", Database!$AD$6:$AD$197, 0)), "")</f>
        <v/>
      </c>
      <c r="D43" s="567" t="str">
        <f>IF(ISNUMBER(INDEX(Database!$H$6:$H$197, MATCH($B43&amp;"USD bn", Database!$AD$6:$AD$197, 0))), INDEX(Database!$H$6:$H$197, MATCH($B43&amp;"USD bn", Database!$AD$6:$AD$197, 0)), "")</f>
        <v/>
      </c>
      <c r="E43" s="567" t="str">
        <f>IF(ISNUMBER(INDEX(Database!$J$6:$J$197, MATCH($B43&amp;"USD bn", Database!$AD$6:$AD$197, 0))), INDEX(Database!$J$6:$J$197, MATCH($B43&amp;"USD bn", Database!$AD$6:$AD$197, 0)), "")</f>
        <v/>
      </c>
      <c r="F43" s="567" t="str">
        <f>IF(ISNUMBER(INDEX(Database!$L$6:$L$197, MATCH($B43&amp;"USD bn", Database!$AD$6:$AD$197, 0))), INDEX(Database!$L$6:$L$197, MATCH($B43&amp;"USD bn", Database!$AD$6:$AD$197, 0)), "")</f>
        <v/>
      </c>
      <c r="G43" s="567"/>
      <c r="H43" s="588" t="str">
        <f>IF(ISNUMBER(INDEX(Database!$P$6:$P$197, MATCH($B43&amp;"USD bn", Database!$AD$6:$AD$197, 0))), INDEX(Database!$P$6:$P$197, MATCH($B43&amp;"USD bn", Database!$AD$6:$AD$197, 0)), "")</f>
        <v/>
      </c>
      <c r="I43" s="567" t="str">
        <f>IF(ISNUMBER(INDEX(Database!$Q$6:$Q$197, MATCH($B43&amp;"USD bn", Database!$AD$6:$AD$197, 0))), INDEX(Database!$Q$6:$Q$197, MATCH($B43&amp;"USD bn", Database!$AD$6:$AD$197, 0)), "")</f>
        <v/>
      </c>
      <c r="J43" s="567"/>
      <c r="K43" s="567" t="str">
        <f>IF(ISNUMBER(INDEX(Database!$U$6:$U$197, MATCH($B43&amp;"USD bn", Database!$AD$6:$AD$197, 0))), INDEX(Database!$U$6:$U$197, MATCH($B43&amp;"USD bn", Database!$AD$6:$AD$197, 0)), "")</f>
        <v/>
      </c>
      <c r="L43" s="567" t="str">
        <f>IF(ISNUMBER(INDEX(Database!$W$6:$W$197, MATCH($B43&amp;"USD bn", Database!$AD$6:$AD$197, 0))), INDEX(Database!$W$6:$W$197, MATCH($B43&amp;"USD bn", Database!$AD$6:$AD$197, 0)), "")</f>
        <v/>
      </c>
      <c r="O43" s="587" t="str">
        <f>IF(ISNUMBER(INDEX(Database!$G$6:$G$197, MATCH($B43&amp;"% GDP", Database!$AD$6:$AD$197, 0))), INDEX(Database!$G$6:$G$197, MATCH($B43&amp;"% GDP", Database!$AD$6:$AD$197, 0)), "")</f>
        <v/>
      </c>
      <c r="P43" s="564" t="str">
        <f>IF(ISNUMBER(INDEX(Database!$H$6:$H$197, MATCH($B43&amp;"% GDP", Database!$AD$6:$AD$197, 0))), INDEX(Database!$H$6:$H$197, MATCH($B43&amp;"% GDP", Database!$AD$6:$AD$197, 0)), "")</f>
        <v/>
      </c>
      <c r="Q43" s="564" t="str">
        <f>IF(ISNUMBER(INDEX(Database!$J$6:$J$197, MATCH($B43&amp;"% GDP", Database!$AD$6:$AD$197, 0))), INDEX(Database!$J$6:$J$197, MATCH($B43&amp;"% GDP", Database!$AD$6:$AD$197, 0)), "")</f>
        <v/>
      </c>
      <c r="R43" s="564" t="str">
        <f>IF(ISNUMBER(INDEX(Database!$L$6:$L$197, MATCH($B43&amp;"% GDP", Database!$AD$6:$AD$197, 0))), INDEX(Database!$L$6:$L$197, MATCH($B43&amp;"% GDP", Database!$AD$6:$AD$197, 0)), "")</f>
        <v/>
      </c>
      <c r="S43" s="564"/>
      <c r="T43" s="587" t="str">
        <f>IF(ISNUMBER(INDEX(Database!$P$6:$P$197, MATCH($B43&amp;"% GDP", Database!$AD$6:$AD$197, 0))), INDEX(Database!$P$6:$P$197, MATCH($B43&amp;"% GDP", Database!$AD$6:$AD$197, 0)), "")</f>
        <v/>
      </c>
      <c r="U43" s="564" t="str">
        <f>IF(ISNUMBER(INDEX(Database!$Q$6:$Q$197, MATCH($B43&amp;"% GDP", Database!$AD$6:$AD$197, 0))), INDEX(Database!$Q$6:$Q$197, MATCH($B43&amp;"% GDP", Database!$AD$6:$AD$197, 0)), "")</f>
        <v/>
      </c>
      <c r="V43" s="564"/>
      <c r="W43" s="564" t="str">
        <f>IF(ISNUMBER(INDEX(Database!$U$6:$U$197, MATCH($B43&amp;"% GDP", Database!$AD$6:$AD$197, 0))), INDEX(Database!$U$6:$U$197, MATCH($B43&amp;"% GDP", Database!$AD$6:$AD$197, 0)), "")</f>
        <v/>
      </c>
      <c r="X43" s="564" t="str">
        <f>IF(ISNUMBER(INDEX(Database!$W$6:$W$197, MATCH($B43&amp;"% GDP", Database!$AD$6:$AD$197, 0))), INDEX(Database!$W$6:$W$197, MATCH($B43&amp;"% GDP", Database!$AD$6:$AD$197, 0)), "")</f>
        <v/>
      </c>
    </row>
    <row r="44" spans="2:24">
      <c r="B44" s="562" t="s">
        <v>27</v>
      </c>
      <c r="C44" s="588">
        <f>IF(ISNUMBER(INDEX(Database!$G$6:$G$197, MATCH($B44&amp;"USD bn", Database!$AD$6:$AD$197, 0))), INDEX(Database!$G$6:$G$197, MATCH($B44&amp;"USD bn", Database!$AD$6:$AD$197, 0)), "")</f>
        <v>3.6598885495522917</v>
      </c>
      <c r="D44" s="567">
        <f>IF(ISNUMBER(INDEX(Database!$H$6:$H$197, MATCH($B44&amp;"USD bn", Database!$AD$6:$AD$197, 0))), INDEX(Database!$H$6:$H$197, MATCH($B44&amp;"USD bn", Database!$AD$6:$AD$197, 0)), "")</f>
        <v>0.9949154937797603</v>
      </c>
      <c r="E44" s="567">
        <f>IF(ISNUMBER(INDEX(Database!$J$6:$J$197, MATCH($B44&amp;"USD bn", Database!$AD$6:$AD$197, 0))), INDEX(Database!$J$6:$J$197, MATCH($B44&amp;"USD bn", Database!$AD$6:$AD$197, 0)), "")</f>
        <v>2.6649730557725313</v>
      </c>
      <c r="F44" s="567">
        <f>IF(ISNUMBER(INDEX(Database!$L$6:$L$197, MATCH($B44&amp;"USD bn", Database!$AD$6:$AD$197, 0))), INDEX(Database!$L$6:$L$197, MATCH($B44&amp;"USD bn", Database!$AD$6:$AD$197, 0)), "")</f>
        <v>0.35011688930666052</v>
      </c>
      <c r="G44" s="567"/>
      <c r="H44" s="588">
        <f>IF(ISNUMBER(INDEX(Database!$P$6:$P$197, MATCH($B44&amp;"USD bn", Database!$AD$6:$AD$197, 0))), INDEX(Database!$P$6:$P$197, MATCH($B44&amp;"USD bn", Database!$AD$6:$AD$197, 0)), "")</f>
        <v>2.6970671039589753</v>
      </c>
      <c r="I44" s="567">
        <f>IF(ISNUMBER(INDEX(Database!$Q$6:$Q$197, MATCH($B44&amp;"USD bn", Database!$AD$6:$AD$197, 0))), INDEX(Database!$Q$6:$Q$197, MATCH($B44&amp;"USD bn", Database!$AD$6:$AD$197, 0)), "")</f>
        <v>0.94648265742567239</v>
      </c>
      <c r="J44" s="567"/>
      <c r="K44" s="567" t="str">
        <f>IF(ISNUMBER(INDEX(Database!$U$6:$U$197, MATCH($B44&amp;"USD bn", Database!$AD$6:$AD$197, 0))), INDEX(Database!$U$6:$U$197, MATCH($B44&amp;"USD bn", Database!$AD$6:$AD$197, 0)), "")</f>
        <v/>
      </c>
      <c r="L44" s="567">
        <f>IF(ISNUMBER(INDEX(Database!$W$6:$W$197, MATCH($B44&amp;"USD bn", Database!$AD$6:$AD$197, 0))), INDEX(Database!$W$6:$W$197, MATCH($B44&amp;"USD bn", Database!$AD$6:$AD$197, 0)), "")</f>
        <v>1.7505844465333027</v>
      </c>
      <c r="O44" s="587">
        <f>IF(ISNUMBER(INDEX(Database!$G$6:$G$197, MATCH($B44&amp;"% GDP", Database!$AD$6:$AD$197, 0))), INDEX(Database!$G$6:$G$197, MATCH($B44&amp;"% GDP", Database!$AD$6:$AD$197, 0)), "")</f>
        <v>5.2881375195675631</v>
      </c>
      <c r="P44" s="564">
        <f>IF(ISNUMBER(INDEX(Database!$H$6:$H$197, MATCH($B44&amp;"% GDP", Database!$AD$6:$AD$197, 0))), INDEX(Database!$H$6:$H$197, MATCH($B44&amp;"% GDP", Database!$AD$6:$AD$197, 0)), "")</f>
        <v>1.4375437612982611</v>
      </c>
      <c r="Q44" s="564">
        <f>IF(ISNUMBER(INDEX(Database!$J$6:$J$197, MATCH($B44&amp;"% GDP", Database!$AD$6:$AD$197, 0))), INDEX(Database!$J$6:$J$197, MATCH($B44&amp;"% GDP", Database!$AD$6:$AD$197, 0)), "")</f>
        <v>3.8505937582693015</v>
      </c>
      <c r="R44" s="564">
        <f>IF(ISNUMBER(INDEX(Database!$L$6:$L$197, MATCH($B44&amp;"% GDP", Database!$AD$6:$AD$197, 0))), INDEX(Database!$L$6:$L$197, MATCH($B44&amp;"% GDP", Database!$AD$6:$AD$197, 0)), "")</f>
        <v>0.50588050250965211</v>
      </c>
      <c r="S44" s="564"/>
      <c r="T44" s="587">
        <f>IF(ISNUMBER(INDEX(Database!$P$6:$P$197, MATCH($B44&amp;"% GDP", Database!$AD$6:$AD$197, 0))), INDEX(Database!$P$6:$P$197, MATCH($B44&amp;"% GDP", Database!$AD$6:$AD$197, 0)), "")</f>
        <v>3.8969661376660198</v>
      </c>
      <c r="U44" s="564">
        <f>IF(ISNUMBER(INDEX(Database!$Q$6:$Q$197, MATCH($B44&amp;"% GDP", Database!$AD$6:$AD$197, 0))), INDEX(Database!$Q$6:$Q$197, MATCH($B44&amp;"% GDP", Database!$AD$6:$AD$197, 0)), "")</f>
        <v>1.3675636251177596</v>
      </c>
      <c r="V44" s="564"/>
      <c r="W44" s="564" t="str">
        <f>IF(ISNUMBER(INDEX(Database!$U$6:$U$197, MATCH($B44&amp;"% GDP", Database!$AD$6:$AD$197, 0))), INDEX(Database!$U$6:$U$197, MATCH($B44&amp;"% GDP", Database!$AD$6:$AD$197, 0)), "")</f>
        <v/>
      </c>
      <c r="X44" s="564">
        <f>IF(ISNUMBER(INDEX(Database!$W$6:$W$197, MATCH($B44&amp;"% GDP", Database!$AD$6:$AD$197, 0))), INDEX(Database!$W$6:$W$197, MATCH($B44&amp;"% GDP", Database!$AD$6:$AD$197, 0)), "")</f>
        <v>2.5294025125482604</v>
      </c>
    </row>
    <row r="45" spans="2:24">
      <c r="B45" s="562" t="s">
        <v>42</v>
      </c>
      <c r="C45" s="588">
        <f>IF(ISNUMBER(INDEX(Database!$G$6:$G$197, MATCH($B45&amp;"USD bn", Database!$AD$6:$AD$197, 0))), INDEX(Database!$G$6:$G$197, MATCH($B45&amp;"USD bn", Database!$AD$6:$AD$197, 0)), "")</f>
        <v>32.063993334728984</v>
      </c>
      <c r="D45" s="567">
        <f>IF(ISNUMBER(INDEX(Database!$H$6:$H$197, MATCH($B45&amp;"USD bn", Database!$AD$6:$AD$197, 0))), INDEX(Database!$H$6:$H$197, MATCH($B45&amp;"USD bn", Database!$AD$6:$AD$197, 0)), "")</f>
        <v>1.5165334699489497</v>
      </c>
      <c r="E45" s="567">
        <f>IF(ISNUMBER(INDEX(Database!$J$6:$J$197, MATCH($B45&amp;"USD bn", Database!$AD$6:$AD$197, 0))), INDEX(Database!$J$6:$J$197, MATCH($B45&amp;"USD bn", Database!$AD$6:$AD$197, 0)), "")</f>
        <v>30.547459864780031</v>
      </c>
      <c r="F45" s="567">
        <f>IF(ISNUMBER(INDEX(Database!$L$6:$L$197, MATCH($B45&amp;"USD bn", Database!$AD$6:$AD$197, 0))), INDEX(Database!$L$6:$L$197, MATCH($B45&amp;"USD bn", Database!$AD$6:$AD$197, 0)), "")</f>
        <v>4.0446076631681755</v>
      </c>
      <c r="G45" s="567"/>
      <c r="H45" s="588">
        <f>IF(ISNUMBER(INDEX(Database!$P$6:$P$197, MATCH($B45&amp;"USD bn", Database!$AD$6:$AD$197, 0))), INDEX(Database!$P$6:$P$197, MATCH($B45&amp;"USD bn", Database!$AD$6:$AD$197, 0)), "")</f>
        <v>6.3189963380984064</v>
      </c>
      <c r="I45" s="567">
        <f>IF(ISNUMBER(INDEX(Database!$Q$6:$Q$197, MATCH($B45&amp;"USD bn", Database!$AD$6:$AD$197, 0))), INDEX(Database!$Q$6:$Q$197, MATCH($B45&amp;"USD bn", Database!$AD$6:$AD$197, 0)), "")</f>
        <v>3.2859281358385646</v>
      </c>
      <c r="J45" s="567"/>
      <c r="K45" s="567" t="str">
        <f>IF(ISNUMBER(INDEX(Database!$U$6:$U$197, MATCH($B45&amp;"USD bn", Database!$AD$6:$AD$197, 0))), INDEX(Database!$U$6:$U$197, MATCH($B45&amp;"USD bn", Database!$AD$6:$AD$197, 0)), "")</f>
        <v/>
      </c>
      <c r="L45" s="567">
        <f>IF(ISNUMBER(INDEX(Database!$W$6:$W$197, MATCH($B45&amp;"USD bn", Database!$AD$6:$AD$197, 0))), INDEX(Database!$W$6:$W$197, MATCH($B45&amp;"USD bn", Database!$AD$6:$AD$197, 0)), "")</f>
        <v>3.0330682022598419</v>
      </c>
      <c r="O45" s="587">
        <f>IF(ISNUMBER(INDEX(Database!$G$6:$G$197, MATCH($B45&amp;"% GDP", Database!$AD$6:$AD$197, 0))), INDEX(Database!$G$6:$G$197, MATCH($B45&amp;"% GDP", Database!$AD$6:$AD$197, 0)), "")</f>
        <v>12.682470249573225</v>
      </c>
      <c r="P45" s="564">
        <f>IF(ISNUMBER(INDEX(Database!$H$6:$H$197, MATCH($B45&amp;"% GDP", Database!$AD$6:$AD$197, 0))), INDEX(Database!$H$6:$H$197, MATCH($B45&amp;"% GDP", Database!$AD$6:$AD$197, 0)), "")</f>
        <v>0.59984389387573989</v>
      </c>
      <c r="Q45" s="564">
        <f>IF(ISNUMBER(INDEX(Database!$J$6:$J$197, MATCH($B45&amp;"% GDP", Database!$AD$6:$AD$197, 0))), INDEX(Database!$J$6:$J$197, MATCH($B45&amp;"% GDP", Database!$AD$6:$AD$197, 0)), "")</f>
        <v>12.082626355697483</v>
      </c>
      <c r="R45" s="564">
        <f>IF(ISNUMBER(INDEX(Database!$L$6:$L$197, MATCH($B45&amp;"% GDP", Database!$AD$6:$AD$197, 0))), INDEX(Database!$L$6:$L$197, MATCH($B45&amp;"% GDP", Database!$AD$6:$AD$197, 0)), "")</f>
        <v>1.5997887669146695</v>
      </c>
      <c r="S45" s="564"/>
      <c r="T45" s="587">
        <f>IF(ISNUMBER(INDEX(Database!$P$6:$P$197, MATCH($B45&amp;"% GDP", Database!$AD$6:$AD$197, 0))), INDEX(Database!$P$6:$P$197, MATCH($B45&amp;"% GDP", Database!$AD$6:$AD$197, 0)), "")</f>
        <v>2.4993918327164151</v>
      </c>
      <c r="U45" s="564">
        <f>IF(ISNUMBER(INDEX(Database!$Q$6:$Q$197, MATCH($B45&amp;"% GDP", Database!$AD$6:$AD$197, 0))), INDEX(Database!$Q$6:$Q$197, MATCH($B45&amp;"% GDP", Database!$AD$6:$AD$197, 0)), "")</f>
        <v>1.2997035456550827</v>
      </c>
      <c r="V45" s="564"/>
      <c r="W45" s="564" t="str">
        <f>IF(ISNUMBER(INDEX(Database!$U$6:$U$197, MATCH($B45&amp;"% GDP", Database!$AD$6:$AD$197, 0))), INDEX(Database!$U$6:$U$197, MATCH($B45&amp;"% GDP", Database!$AD$6:$AD$197, 0)), "")</f>
        <v/>
      </c>
      <c r="X45" s="564">
        <f>IF(ISNUMBER(INDEX(Database!$W$6:$W$197, MATCH($B45&amp;"% GDP", Database!$AD$6:$AD$197, 0))), INDEX(Database!$W$6:$W$197, MATCH($B45&amp;"% GDP", Database!$AD$6:$AD$197, 0)), "")</f>
        <v>1.1996882870613323</v>
      </c>
    </row>
    <row r="46" spans="2:24">
      <c r="B46" s="562" t="s">
        <v>34</v>
      </c>
      <c r="C46" s="588">
        <f>IF(ISNUMBER(INDEX(Database!$G$6:$G$197, MATCH($B46&amp;"USD bn", Database!$AD$6:$AD$197, 0))), INDEX(Database!$G$6:$G$197, MATCH($B46&amp;"USD bn", Database!$AD$6:$AD$197, 0)), "")</f>
        <v>12.537379304867349</v>
      </c>
      <c r="D46" s="567">
        <f>IF(ISNUMBER(INDEX(Database!$H$6:$H$197, MATCH($B46&amp;"USD bn", Database!$AD$6:$AD$197, 0))), INDEX(Database!$H$6:$H$197, MATCH($B46&amp;"USD bn", Database!$AD$6:$AD$197, 0)), "")</f>
        <v>3.8751505833461795</v>
      </c>
      <c r="E46" s="567">
        <f>IF(ISNUMBER(INDEX(Database!$J$6:$J$197, MATCH($B46&amp;"USD bn", Database!$AD$6:$AD$197, 0))), INDEX(Database!$J$6:$J$197, MATCH($B46&amp;"USD bn", Database!$AD$6:$AD$197, 0)), "")</f>
        <v>8.6622287215211689</v>
      </c>
      <c r="F46" s="567">
        <f>IF(ISNUMBER(INDEX(Database!$L$6:$L$197, MATCH($B46&amp;"USD bn", Database!$AD$6:$AD$197, 0))), INDEX(Database!$L$6:$L$197, MATCH($B46&amp;"USD bn", Database!$AD$6:$AD$197, 0)), "")</f>
        <v>0.4819569618750838</v>
      </c>
      <c r="G46" s="567"/>
      <c r="H46" s="588">
        <f>IF(ISNUMBER(INDEX(Database!$P$6:$P$197, MATCH($B46&amp;"USD bn", Database!$AD$6:$AD$197, 0))), INDEX(Database!$P$6:$P$197, MATCH($B46&amp;"USD bn", Database!$AD$6:$AD$197, 0)), "")</f>
        <v>14.618458635750434</v>
      </c>
      <c r="I46" s="567">
        <f>IF(ISNUMBER(INDEX(Database!$Q$6:$Q$197, MATCH($B46&amp;"USD bn", Database!$AD$6:$AD$197, 0))), INDEX(Database!$Q$6:$Q$197, MATCH($B46&amp;"USD bn", Database!$AD$6:$AD$197, 0)), "")</f>
        <v>7.6937118380227556</v>
      </c>
      <c r="J46" s="567"/>
      <c r="K46" s="567">
        <f>IF(ISNUMBER(INDEX(Database!$U$6:$U$197, MATCH($B46&amp;"USD bn", Database!$AD$6:$AD$197, 0))), INDEX(Database!$U$6:$U$197, MATCH($B46&amp;"USD bn", Database!$AD$6:$AD$197, 0)), "")</f>
        <v>6.9247467977276784</v>
      </c>
      <c r="L46" s="567" t="str">
        <f>IF(ISNUMBER(INDEX(Database!$W$6:$W$197, MATCH($B46&amp;"USD bn", Database!$AD$6:$AD$197, 0))), INDEX(Database!$W$6:$W$197, MATCH($B46&amp;"USD bn", Database!$AD$6:$AD$197, 0)), "")</f>
        <v/>
      </c>
      <c r="O46" s="587">
        <f>IF(ISNUMBER(INDEX(Database!$G$6:$G$197, MATCH($B46&amp;"% GDP", Database!$AD$6:$AD$197, 0))), INDEX(Database!$G$6:$G$197, MATCH($B46&amp;"% GDP", Database!$AD$6:$AD$197, 0)), "")</f>
        <v>4.6169047873067024</v>
      </c>
      <c r="P46" s="564">
        <f>IF(ISNUMBER(INDEX(Database!$H$6:$H$197, MATCH($B46&amp;"% GDP", Database!$AD$6:$AD$197, 0))), INDEX(Database!$H$6:$H$197, MATCH($B46&amp;"% GDP", Database!$AD$6:$AD$197, 0)), "")</f>
        <v>1.4270287948327041</v>
      </c>
      <c r="Q46" s="564">
        <f>IF(ISNUMBER(INDEX(Database!$J$6:$J$197, MATCH($B46&amp;"% GDP", Database!$AD$6:$AD$197, 0))), INDEX(Database!$J$6:$J$197, MATCH($B46&amp;"% GDP", Database!$AD$6:$AD$197, 0)), "")</f>
        <v>3.1898759924739983</v>
      </c>
      <c r="R46" s="564">
        <f>IF(ISNUMBER(INDEX(Database!$L$6:$L$197, MATCH($B46&amp;"% GDP", Database!$AD$6:$AD$197, 0))), INDEX(Database!$L$6:$L$197, MATCH($B46&amp;"% GDP", Database!$AD$6:$AD$197, 0)), "")</f>
        <v>0.17748122238696293</v>
      </c>
      <c r="S46" s="564"/>
      <c r="T46" s="587">
        <f>IF(ISNUMBER(INDEX(Database!$P$6:$P$197, MATCH($B46&amp;"% GDP", Database!$AD$6:$AD$197, 0))), INDEX(Database!$P$6:$P$197, MATCH($B46&amp;"% GDP", Database!$AD$6:$AD$197, 0)), "")</f>
        <v>5.3832647172315324</v>
      </c>
      <c r="U46" s="564">
        <f>IF(ISNUMBER(INDEX(Database!$Q$6:$Q$197, MATCH($B46&amp;"% GDP", Database!$AD$6:$AD$197, 0))), INDEX(Database!$Q$6:$Q$197, MATCH($B46&amp;"% GDP", Database!$AD$6:$AD$197, 0)), "")</f>
        <v>2.8332185023177257</v>
      </c>
      <c r="V46" s="564"/>
      <c r="W46" s="564">
        <f>IF(ISNUMBER(INDEX(Database!$U$6:$U$197, MATCH($B46&amp;"% GDP", Database!$AD$6:$AD$197, 0))), INDEX(Database!$U$6:$U$197, MATCH($B46&amp;"% GDP", Database!$AD$6:$AD$197, 0)), "")</f>
        <v>2.5500462149138068</v>
      </c>
      <c r="X46" s="564" t="str">
        <f>IF(ISNUMBER(INDEX(Database!$W$6:$W$197, MATCH($B46&amp;"% GDP", Database!$AD$6:$AD$197, 0))), INDEX(Database!$W$6:$W$197, MATCH($B46&amp;"% GDP", Database!$AD$6:$AD$197, 0)), "")</f>
        <v/>
      </c>
    </row>
    <row r="47" spans="2:24">
      <c r="B47" s="562" t="s">
        <v>23</v>
      </c>
      <c r="C47" s="588">
        <f>IF(ISNUMBER(INDEX(Database!$G$6:$G$197, MATCH($B47&amp;"USD bn", Database!$AD$6:$AD$197, 0))), INDEX(Database!$G$6:$G$197, MATCH($B47&amp;"USD bn", Database!$AD$6:$AD$197, 0)), "")</f>
        <v>5.6957877830164128</v>
      </c>
      <c r="D47" s="567">
        <f>IF(ISNUMBER(INDEX(Database!$H$6:$H$197, MATCH($B47&amp;"USD bn", Database!$AD$6:$AD$197, 0))), INDEX(Database!$H$6:$H$197, MATCH($B47&amp;"USD bn", Database!$AD$6:$AD$197, 0)), "")</f>
        <v>0.80458007357131589</v>
      </c>
      <c r="E47" s="567">
        <f>IF(ISNUMBER(INDEX(Database!$J$6:$J$197, MATCH($B47&amp;"USD bn", Database!$AD$6:$AD$197, 0))), INDEX(Database!$J$6:$J$197, MATCH($B47&amp;"USD bn", Database!$AD$6:$AD$197, 0)), "")</f>
        <v>4.891207709445097</v>
      </c>
      <c r="F47" s="567" t="str">
        <f>IF(ISNUMBER(INDEX(Database!$L$6:$L$197, MATCH($B47&amp;"USD bn", Database!$AD$6:$AD$197, 0))), INDEX(Database!$L$6:$L$197, MATCH($B47&amp;"USD bn", Database!$AD$6:$AD$197, 0)), "")</f>
        <v/>
      </c>
      <c r="G47" s="567"/>
      <c r="H47" s="588">
        <f>IF(ISNUMBER(INDEX(Database!$P$6:$P$197, MATCH($B47&amp;"USD bn", Database!$AD$6:$AD$197, 0))), INDEX(Database!$P$6:$P$197, MATCH($B47&amp;"USD bn", Database!$AD$6:$AD$197, 0)), "")</f>
        <v>0.46256670638826908</v>
      </c>
      <c r="I47" s="567">
        <f>IF(ISNUMBER(INDEX(Database!$Q$6:$Q$197, MATCH($B47&amp;"USD bn", Database!$AD$6:$AD$197, 0))), INDEX(Database!$Q$6:$Q$197, MATCH($B47&amp;"USD bn", Database!$AD$6:$AD$197, 0)), "")</f>
        <v>0.46256670638826908</v>
      </c>
      <c r="J47" s="567"/>
      <c r="K47" s="567" t="str">
        <f>IF(ISNUMBER(INDEX(Database!$U$6:$U$197, MATCH($B47&amp;"USD bn", Database!$AD$6:$AD$197, 0))), INDEX(Database!$U$6:$U$197, MATCH($B47&amp;"USD bn", Database!$AD$6:$AD$197, 0)), "")</f>
        <v/>
      </c>
      <c r="L47" s="567" t="str">
        <f>IF(ISNUMBER(INDEX(Database!$W$6:$W$197, MATCH($B47&amp;"USD bn", Database!$AD$6:$AD$197, 0))), INDEX(Database!$W$6:$W$197, MATCH($B47&amp;"USD bn", Database!$AD$6:$AD$197, 0)), "")</f>
        <v/>
      </c>
      <c r="O47" s="587">
        <f>IF(ISNUMBER(INDEX(Database!$G$6:$G$197, MATCH($B47&amp;"% GDP", Database!$AD$6:$AD$197, 0))), INDEX(Database!$G$6:$G$197, MATCH($B47&amp;"% GDP", Database!$AD$6:$AD$197, 0)), "")</f>
        <v>1.5680273855370135</v>
      </c>
      <c r="P47" s="564">
        <f>IF(ISNUMBER(INDEX(Database!$H$6:$H$197, MATCH($B47&amp;"% GDP", Database!$AD$6:$AD$197, 0))), INDEX(Database!$H$6:$H$197, MATCH($B47&amp;"% GDP", Database!$AD$6:$AD$197, 0)), "")</f>
        <v>0.22149764655541296</v>
      </c>
      <c r="Q47" s="564">
        <f>IF(ISNUMBER(INDEX(Database!$J$6:$J$197, MATCH($B47&amp;"% GDP", Database!$AD$6:$AD$197, 0))), INDEX(Database!$J$6:$J$197, MATCH($B47&amp;"% GDP", Database!$AD$6:$AD$197, 0)), "")</f>
        <v>1.3465297389816004</v>
      </c>
      <c r="R47" s="564" t="str">
        <f>IF(ISNUMBER(INDEX(Database!$L$6:$L$197, MATCH($B47&amp;"% GDP", Database!$AD$6:$AD$197, 0))), INDEX(Database!$L$6:$L$197, MATCH($B47&amp;"% GDP", Database!$AD$6:$AD$197, 0)), "")</f>
        <v/>
      </c>
      <c r="S47" s="564"/>
      <c r="T47" s="587">
        <f>IF(ISNUMBER(INDEX(Database!$P$6:$P$197, MATCH($B47&amp;"% GDP", Database!$AD$6:$AD$197, 0))), INDEX(Database!$P$6:$P$197, MATCH($B47&amp;"% GDP", Database!$AD$6:$AD$197, 0)), "")</f>
        <v>0.12734274711168164</v>
      </c>
      <c r="U47" s="564">
        <f>IF(ISNUMBER(INDEX(Database!$Q$6:$Q$197, MATCH($B47&amp;"% GDP", Database!$AD$6:$AD$197, 0))), INDEX(Database!$Q$6:$Q$197, MATCH($B47&amp;"% GDP", Database!$AD$6:$AD$197, 0)), "")</f>
        <v>0.12734274711168164</v>
      </c>
      <c r="V47" s="564"/>
      <c r="W47" s="564" t="str">
        <f>IF(ISNUMBER(INDEX(Database!$U$6:$U$197, MATCH($B47&amp;"% GDP", Database!$AD$6:$AD$197, 0))), INDEX(Database!$U$6:$U$197, MATCH($B47&amp;"% GDP", Database!$AD$6:$AD$197, 0)), "")</f>
        <v/>
      </c>
      <c r="X47" s="564" t="str">
        <f>IF(ISNUMBER(INDEX(Database!$W$6:$W$197, MATCH($B47&amp;"% GDP", Database!$AD$6:$AD$197, 0))), INDEX(Database!$W$6:$W$197, MATCH($B47&amp;"% GDP", Database!$AD$6:$AD$197, 0)), "")</f>
        <v/>
      </c>
    </row>
    <row r="48" spans="2:24">
      <c r="B48" s="562" t="s">
        <v>549</v>
      </c>
      <c r="C48" s="588">
        <f>IF(ISNUMBER(INDEX(Database!$G$6:$G$197, MATCH($B48&amp;"USD bn", Database!$AD$6:$AD$197, 0))), INDEX(Database!$G$6:$G$197, MATCH($B48&amp;"USD bn", Database!$AD$6:$AD$197, 0)), "")</f>
        <v>1.1321361565263992</v>
      </c>
      <c r="D48" s="567">
        <f>IF(ISNUMBER(INDEX(Database!$H$6:$H$197, MATCH($B48&amp;"USD bn", Database!$AD$6:$AD$197, 0))), INDEX(Database!$H$6:$H$197, MATCH($B48&amp;"USD bn", Database!$AD$6:$AD$197, 0)), "")</f>
        <v>0.41490217099973153</v>
      </c>
      <c r="E48" s="567">
        <f>IF(ISNUMBER(INDEX(Database!$J$6:$J$197, MATCH($B48&amp;"USD bn", Database!$AD$6:$AD$197, 0))), INDEX(Database!$J$6:$J$197, MATCH($B48&amp;"USD bn", Database!$AD$6:$AD$197, 0)), "")</f>
        <v>0.71723398552666773</v>
      </c>
      <c r="F48" s="567" t="str">
        <f>IF(ISNUMBER(INDEX(Database!$L$6:$L$197, MATCH($B48&amp;"USD bn", Database!$AD$6:$AD$197, 0))), INDEX(Database!$L$6:$L$197, MATCH($B48&amp;"USD bn", Database!$AD$6:$AD$197, 0)), "")</f>
        <v/>
      </c>
      <c r="G48" s="567"/>
      <c r="H48" s="588">
        <f>IF(ISNUMBER(INDEX(Database!$P$6:$P$197, MATCH($B48&amp;"USD bn", Database!$AD$6:$AD$197, 0))), INDEX(Database!$P$6:$P$197, MATCH($B48&amp;"USD bn", Database!$AD$6:$AD$197, 0)), "")</f>
        <v>5.9361103903259175E-5</v>
      </c>
      <c r="I48" s="567">
        <f>IF(ISNUMBER(INDEX(Database!$Q$6:$Q$197, MATCH($B48&amp;"USD bn", Database!$AD$6:$AD$197, 0))), INDEX(Database!$Q$6:$Q$197, MATCH($B48&amp;"USD bn", Database!$AD$6:$AD$197, 0)), "")</f>
        <v>2.4881899839689477E-5</v>
      </c>
      <c r="J48" s="567"/>
      <c r="K48" s="567">
        <f>IF(ISNUMBER(INDEX(Database!$U$6:$U$197, MATCH($B48&amp;"USD bn", Database!$AD$6:$AD$197, 0))), INDEX(Database!$U$6:$U$197, MATCH($B48&amp;"USD bn", Database!$AD$6:$AD$197, 0)), "")</f>
        <v>3.4479204063569698E-5</v>
      </c>
      <c r="L48" s="567" t="str">
        <f>IF(ISNUMBER(INDEX(Database!$W$6:$W$197, MATCH($B48&amp;"USD bn", Database!$AD$6:$AD$197, 0))), INDEX(Database!$W$6:$W$197, MATCH($B48&amp;"USD bn", Database!$AD$6:$AD$197, 0)), "")</f>
        <v/>
      </c>
      <c r="O48" s="587">
        <f>IF(ISNUMBER(INDEX(Database!$G$6:$G$197, MATCH($B48&amp;"% GDP", Database!$AD$6:$AD$197, 0))), INDEX(Database!$G$6:$G$197, MATCH($B48&amp;"% GDP", Database!$AD$6:$AD$197, 0)), "")</f>
        <v>7.1244589204446775</v>
      </c>
      <c r="P48" s="564">
        <f>IF(ISNUMBER(INDEX(Database!$H$6:$H$197, MATCH($B48&amp;"% GDP", Database!$AD$6:$AD$197, 0))), INDEX(Database!$H$6:$H$197, MATCH($B48&amp;"% GDP", Database!$AD$6:$AD$197, 0)), "")</f>
        <v>2.6109522748220551</v>
      </c>
      <c r="Q48" s="564">
        <f>IF(ISNUMBER(INDEX(Database!$J$6:$J$197, MATCH($B48&amp;"% GDP", Database!$AD$6:$AD$197, 0))), INDEX(Database!$J$6:$J$197, MATCH($B48&amp;"% GDP", Database!$AD$6:$AD$197, 0)), "")</f>
        <v>4.5135066456226216</v>
      </c>
      <c r="R48" s="564" t="str">
        <f>IF(ISNUMBER(INDEX(Database!$L$6:$L$197, MATCH($B48&amp;"% GDP", Database!$AD$6:$AD$197, 0))), INDEX(Database!$L$6:$L$197, MATCH($B48&amp;"% GDP", Database!$AD$6:$AD$197, 0)), "")</f>
        <v/>
      </c>
      <c r="S48" s="564"/>
      <c r="T48" s="587">
        <f>IF(ISNUMBER(INDEX(Database!$P$6:$P$197, MATCH($B48&amp;"% GDP", Database!$AD$6:$AD$197, 0))), INDEX(Database!$P$6:$P$197, MATCH($B48&amp;"% GDP", Database!$AD$6:$AD$197, 0)), "")</f>
        <v>4.5185755271281601E-4</v>
      </c>
      <c r="U48" s="564">
        <f>IF(ISNUMBER(INDEX(Database!$Q$6:$Q$197, MATCH($B48&amp;"% GDP", Database!$AD$6:$AD$197, 0))), INDEX(Database!$Q$6:$Q$197, MATCH($B48&amp;"% GDP", Database!$AD$6:$AD$197, 0)), "")</f>
        <v>1.8940136940058156E-4</v>
      </c>
      <c r="V48" s="564"/>
      <c r="W48" s="564">
        <f>IF(ISNUMBER(INDEX(Database!$U$6:$U$197, MATCH($B48&amp;"% GDP", Database!$AD$6:$AD$197, 0))), INDEX(Database!$U$6:$U$197, MATCH($B48&amp;"% GDP", Database!$AD$6:$AD$197, 0)), "")</f>
        <v>2.6245618331223442E-4</v>
      </c>
      <c r="X48" s="564" t="str">
        <f>IF(ISNUMBER(INDEX(Database!$W$6:$W$197, MATCH($B48&amp;"% GDP", Database!$AD$6:$AD$197, 0))), INDEX(Database!$W$6:$W$197, MATCH($B48&amp;"% GDP", Database!$AD$6:$AD$197, 0)), "")</f>
        <v/>
      </c>
    </row>
    <row r="49" spans="2:24">
      <c r="B49" s="562" t="s">
        <v>35</v>
      </c>
      <c r="C49" s="588">
        <f>IF(ISNUMBER(INDEX(Database!$G$6:$G$197, MATCH($B49&amp;"USD bn", Database!$AD$6:$AD$197, 0))), INDEX(Database!$G$6:$G$197, MATCH($B49&amp;"USD bn", Database!$AD$6:$AD$197, 0)), "")</f>
        <v>9.4151074374828561</v>
      </c>
      <c r="D49" s="567">
        <f>IF(ISNUMBER(INDEX(Database!$H$6:$H$197, MATCH($B49&amp;"USD bn", Database!$AD$6:$AD$197, 0))), INDEX(Database!$H$6:$H$197, MATCH($B49&amp;"USD bn", Database!$AD$6:$AD$197, 0)), "")</f>
        <v>1.203525822126795</v>
      </c>
      <c r="E49" s="567">
        <f>IF(ISNUMBER(INDEX(Database!$J$6:$J$197, MATCH($B49&amp;"USD bn", Database!$AD$6:$AD$197, 0))), INDEX(Database!$J$6:$J$197, MATCH($B49&amp;"USD bn", Database!$AD$6:$AD$197, 0)), "")</f>
        <v>8.2115816153560601</v>
      </c>
      <c r="F49" s="567">
        <f>IF(ISNUMBER(INDEX(Database!$L$6:$L$197, MATCH($B49&amp;"USD bn", Database!$AD$6:$AD$197, 0))), INDEX(Database!$L$6:$L$197, MATCH($B49&amp;"USD bn", Database!$AD$6:$AD$197, 0)), "")</f>
        <v>0.48431622620796583</v>
      </c>
      <c r="G49" s="567"/>
      <c r="H49" s="588">
        <f>IF(ISNUMBER(INDEX(Database!$P$6:$P$197, MATCH($B49&amp;"USD bn", Database!$AD$6:$AD$197, 0))), INDEX(Database!$P$6:$P$197, MATCH($B49&amp;"USD bn", Database!$AD$6:$AD$197, 0)), "")</f>
        <v>4.8843291413073349</v>
      </c>
      <c r="I49" s="567">
        <f>IF(ISNUMBER(INDEX(Database!$Q$6:$Q$197, MATCH($B49&amp;"USD bn", Database!$AD$6:$AD$197, 0))), INDEX(Database!$Q$6:$Q$197, MATCH($B49&amp;"USD bn", Database!$AD$6:$AD$197, 0)), "")</f>
        <v>0</v>
      </c>
      <c r="J49" s="567"/>
      <c r="K49" s="567" t="str">
        <f>IF(ISNUMBER(INDEX(Database!$U$6:$U$197, MATCH($B49&amp;"USD bn", Database!$AD$6:$AD$197, 0))), INDEX(Database!$U$6:$U$197, MATCH($B49&amp;"USD bn", Database!$AD$6:$AD$197, 0)), "")</f>
        <v/>
      </c>
      <c r="L49" s="567">
        <f>IF(ISNUMBER(INDEX(Database!$W$6:$W$197, MATCH($B49&amp;"USD bn", Database!$AD$6:$AD$197, 0))), INDEX(Database!$W$6:$W$197, MATCH($B49&amp;"USD bn", Database!$AD$6:$AD$197, 0)), "")</f>
        <v>4.8843291413073349</v>
      </c>
      <c r="O49" s="587">
        <f>IF(ISNUMBER(INDEX(Database!$G$6:$G$197, MATCH($B49&amp;"% GDP", Database!$AD$6:$AD$197, 0))), INDEX(Database!$G$6:$G$197, MATCH($B49&amp;"% GDP", Database!$AD$6:$AD$197, 0)), "")</f>
        <v>5.4981978129390923</v>
      </c>
      <c r="P49" s="564">
        <f>IF(ISNUMBER(INDEX(Database!$H$6:$H$197, MATCH($B49&amp;"% GDP", Database!$AD$6:$AD$197, 0))), INDEX(Database!$H$6:$H$197, MATCH($B49&amp;"% GDP", Database!$AD$6:$AD$197, 0)), "")</f>
        <v>0.70283032742559903</v>
      </c>
      <c r="Q49" s="564">
        <f>IF(ISNUMBER(INDEX(Database!$J$6:$J$197, MATCH($B49&amp;"% GDP", Database!$AD$6:$AD$197, 0))), INDEX(Database!$J$6:$J$197, MATCH($B49&amp;"% GDP", Database!$AD$6:$AD$197, 0)), "")</f>
        <v>4.7953674855134931</v>
      </c>
      <c r="R49" s="564">
        <f>IF(ISNUMBER(INDEX(Database!$L$6:$L$197, MATCH($B49&amp;"% GDP", Database!$AD$6:$AD$197, 0))), INDEX(Database!$L$6:$L$197, MATCH($B49&amp;"% GDP", Database!$AD$6:$AD$197, 0)), "")</f>
        <v>0.28282910560386276</v>
      </c>
      <c r="S49" s="564"/>
      <c r="T49" s="587">
        <f>IF(ISNUMBER(INDEX(Database!$P$6:$P$197, MATCH($B49&amp;"% GDP", Database!$AD$6:$AD$197, 0))), INDEX(Database!$P$6:$P$197, MATCH($B49&amp;"% GDP", Database!$AD$6:$AD$197, 0)), "")</f>
        <v>2.8523315300149559</v>
      </c>
      <c r="U49" s="564">
        <f>IF(ISNUMBER(INDEX(Database!$Q$6:$Q$197, MATCH($B49&amp;"% GDP", Database!$AD$6:$AD$197, 0))), INDEX(Database!$Q$6:$Q$197, MATCH($B49&amp;"% GDP", Database!$AD$6:$AD$197, 0)), "")</f>
        <v>0</v>
      </c>
      <c r="V49" s="564"/>
      <c r="W49" s="564" t="str">
        <f>IF(ISNUMBER(INDEX(Database!$U$6:$U$197, MATCH($B49&amp;"% GDP", Database!$AD$6:$AD$197, 0))), INDEX(Database!$U$6:$U$197, MATCH($B49&amp;"% GDP", Database!$AD$6:$AD$197, 0)), "")</f>
        <v/>
      </c>
      <c r="X49" s="564">
        <f>IF(ISNUMBER(INDEX(Database!$W$6:$W$197, MATCH($B49&amp;"% GDP", Database!$AD$6:$AD$197, 0))), INDEX(Database!$W$6:$W$197, MATCH($B49&amp;"% GDP", Database!$AD$6:$AD$197, 0)), "")</f>
        <v>2.8523315300149559</v>
      </c>
    </row>
    <row r="50" spans="2:24" s="479" customFormat="1">
      <c r="B50" s="562" t="s">
        <v>970</v>
      </c>
      <c r="C50" s="588" t="str">
        <f>IF(ISNUMBER(INDEX(Database!$G$6:$G$197, MATCH($B50&amp;"USD bn", Database!$AD$6:$AD$197, 0))), INDEX(Database!$G$6:$G$197, MATCH($B50&amp;"USD bn", Database!$AD$6:$AD$197, 0)), "")</f>
        <v/>
      </c>
      <c r="D50" s="567" t="str">
        <f>IF(ISNUMBER(INDEX(Database!$H$6:$H$197, MATCH($B50&amp;"USD bn", Database!$AD$6:$AD$197, 0))), INDEX(Database!$H$6:$H$197, MATCH($B50&amp;"USD bn", Database!$AD$6:$AD$197, 0)), "")</f>
        <v/>
      </c>
      <c r="E50" s="567" t="str">
        <f>IF(ISNUMBER(INDEX(Database!$J$6:$J$197, MATCH($B50&amp;"USD bn", Database!$AD$6:$AD$197, 0))), INDEX(Database!$J$6:$J$197, MATCH($B50&amp;"USD bn", Database!$AD$6:$AD$197, 0)), "")</f>
        <v/>
      </c>
      <c r="F50" s="567" t="str">
        <f>IF(ISNUMBER(INDEX(Database!$L$6:$L$197, MATCH($B50&amp;"USD bn", Database!$AD$6:$AD$197, 0))), INDEX(Database!$L$6:$L$197, MATCH($B50&amp;"USD bn", Database!$AD$6:$AD$197, 0)), "")</f>
        <v/>
      </c>
      <c r="G50" s="567"/>
      <c r="H50" s="588" t="str">
        <f>IF(ISNUMBER(INDEX(Database!$P$6:$P$197, MATCH($B50&amp;"USD bn", Database!$AD$6:$AD$197, 0))), INDEX(Database!$P$6:$P$197, MATCH($B50&amp;"USD bn", Database!$AD$6:$AD$197, 0)), "")</f>
        <v/>
      </c>
      <c r="I50" s="567" t="str">
        <f>IF(ISNUMBER(INDEX(Database!$Q$6:$Q$197, MATCH($B50&amp;"USD bn", Database!$AD$6:$AD$197, 0))), INDEX(Database!$Q$6:$Q$197, MATCH($B50&amp;"USD bn", Database!$AD$6:$AD$197, 0)), "")</f>
        <v/>
      </c>
      <c r="J50" s="567"/>
      <c r="K50" s="567" t="str">
        <f>IF(ISNUMBER(INDEX(Database!$U$6:$U$197, MATCH($B50&amp;"USD bn", Database!$AD$6:$AD$197, 0))), INDEX(Database!$U$6:$U$197, MATCH($B50&amp;"USD bn", Database!$AD$6:$AD$197, 0)), "")</f>
        <v/>
      </c>
      <c r="L50" s="567" t="str">
        <f>IF(ISNUMBER(INDEX(Database!$W$6:$W$197, MATCH($B50&amp;"USD bn", Database!$AD$6:$AD$197, 0))), INDEX(Database!$W$6:$W$197, MATCH($B50&amp;"USD bn", Database!$AD$6:$AD$197, 0)), "")</f>
        <v/>
      </c>
      <c r="O50" s="587" t="str">
        <f>IF(ISNUMBER(INDEX(Database!$G$6:$G$197, MATCH($B50&amp;"% GDP", Database!$AD$6:$AD$197, 0))), INDEX(Database!$G$6:$G$197, MATCH($B50&amp;"% GDP", Database!$AD$6:$AD$197, 0)), "")</f>
        <v/>
      </c>
      <c r="P50" s="564" t="str">
        <f>IF(ISNUMBER(INDEX(Database!$H$6:$H$197, MATCH($B50&amp;"% GDP", Database!$AD$6:$AD$197, 0))), INDEX(Database!$H$6:$H$197, MATCH($B50&amp;"% GDP", Database!$AD$6:$AD$197, 0)), "")</f>
        <v/>
      </c>
      <c r="Q50" s="564" t="str">
        <f>IF(ISNUMBER(INDEX(Database!$J$6:$J$197, MATCH($B50&amp;"% GDP", Database!$AD$6:$AD$197, 0))), INDEX(Database!$J$6:$J$197, MATCH($B50&amp;"% GDP", Database!$AD$6:$AD$197, 0)), "")</f>
        <v/>
      </c>
      <c r="R50" s="564" t="str">
        <f>IF(ISNUMBER(INDEX(Database!$L$6:$L$197, MATCH($B50&amp;"% GDP", Database!$AD$6:$AD$197, 0))), INDEX(Database!$L$6:$L$197, MATCH($B50&amp;"% GDP", Database!$AD$6:$AD$197, 0)), "")</f>
        <v/>
      </c>
      <c r="S50" s="564"/>
      <c r="T50" s="587" t="str">
        <f>IF(ISNUMBER(INDEX(Database!$P$6:$P$197, MATCH($B50&amp;"% GDP", Database!$AD$6:$AD$197, 0))), INDEX(Database!$P$6:$P$197, MATCH($B50&amp;"% GDP", Database!$AD$6:$AD$197, 0)), "")</f>
        <v/>
      </c>
      <c r="U50" s="564" t="str">
        <f>IF(ISNUMBER(INDEX(Database!$Q$6:$Q$197, MATCH($B50&amp;"% GDP", Database!$AD$6:$AD$197, 0))), INDEX(Database!$Q$6:$Q$197, MATCH($B50&amp;"% GDP", Database!$AD$6:$AD$197, 0)), "")</f>
        <v/>
      </c>
      <c r="V50" s="564"/>
      <c r="W50" s="564" t="str">
        <f>IF(ISNUMBER(INDEX(Database!$U$6:$U$197, MATCH($B50&amp;"% GDP", Database!$AD$6:$AD$197, 0))), INDEX(Database!$U$6:$U$197, MATCH($B50&amp;"% GDP", Database!$AD$6:$AD$197, 0)), "")</f>
        <v/>
      </c>
      <c r="X50" s="564" t="str">
        <f>IF(ISNUMBER(INDEX(Database!$W$6:$W$197, MATCH($B50&amp;"% GDP", Database!$AD$6:$AD$197, 0))), INDEX(Database!$W$6:$W$197, MATCH($B50&amp;"% GDP", Database!$AD$6:$AD$197, 0)), "")</f>
        <v/>
      </c>
    </row>
    <row r="51" spans="2:24">
      <c r="B51" s="562" t="s">
        <v>92</v>
      </c>
      <c r="C51" s="588">
        <f>IF(ISNUMBER(INDEX(Database!$G$6:$G$197, MATCH($B51&amp;"USD bn", Database!$AD$6:$AD$197, 0))), INDEX(Database!$G$6:$G$197, MATCH($B51&amp;"USD bn", Database!$AD$6:$AD$197, 0)), "")</f>
        <v>0.99880719208951563</v>
      </c>
      <c r="D51" s="567">
        <f>IF(ISNUMBER(INDEX(Database!$H$6:$H$197, MATCH($B51&amp;"USD bn", Database!$AD$6:$AD$197, 0))), INDEX(Database!$H$6:$H$197, MATCH($B51&amp;"USD bn", Database!$AD$6:$AD$197, 0)), "")</f>
        <v>3.3039423656905105E-2</v>
      </c>
      <c r="E51" s="567">
        <f>IF(ISNUMBER(INDEX(Database!$J$6:$J$197, MATCH($B51&amp;"USD bn", Database!$AD$6:$AD$197, 0))), INDEX(Database!$J$6:$J$197, MATCH($B51&amp;"USD bn", Database!$AD$6:$AD$197, 0)), "")</f>
        <v>0.96576776843261058</v>
      </c>
      <c r="F51" s="567" t="str">
        <f>IF(ISNUMBER(INDEX(Database!$L$6:$L$197, MATCH($B51&amp;"USD bn", Database!$AD$6:$AD$197, 0))), INDEX(Database!$L$6:$L$197, MATCH($B51&amp;"USD bn", Database!$AD$6:$AD$197, 0)), "")</f>
        <v/>
      </c>
      <c r="G51" s="567"/>
      <c r="H51" s="588">
        <f>IF(ISNUMBER(INDEX(Database!$P$6:$P$197, MATCH($B51&amp;"USD bn", Database!$AD$6:$AD$197, 0))), INDEX(Database!$P$6:$P$197, MATCH($B51&amp;"USD bn", Database!$AD$6:$AD$197, 0)), "")</f>
        <v>4.0460586509071472</v>
      </c>
      <c r="I51" s="567">
        <f>IF(ISNUMBER(INDEX(Database!$Q$6:$Q$197, MATCH($B51&amp;"USD bn", Database!$AD$6:$AD$197, 0))), INDEX(Database!$Q$6:$Q$197, MATCH($B51&amp;"USD bn", Database!$AD$6:$AD$197, 0)), "")</f>
        <v>0.36089216609850183</v>
      </c>
      <c r="J51" s="567"/>
      <c r="K51" s="567" t="str">
        <f>IF(ISNUMBER(INDEX(Database!$U$6:$U$197, MATCH($B51&amp;"USD bn", Database!$AD$6:$AD$197, 0))), INDEX(Database!$U$6:$U$197, MATCH($B51&amp;"USD bn", Database!$AD$6:$AD$197, 0)), "")</f>
        <v/>
      </c>
      <c r="L51" s="567">
        <f>IF(ISNUMBER(INDEX(Database!$W$6:$W$197, MATCH($B51&amp;"USD bn", Database!$AD$6:$AD$197, 0))), INDEX(Database!$W$6:$W$197, MATCH($B51&amp;"USD bn", Database!$AD$6:$AD$197, 0)), "")</f>
        <v>3.6851664848086458</v>
      </c>
      <c r="O51" s="587">
        <f>IF(ISNUMBER(INDEX(Database!$G$6:$G$197, MATCH($B51&amp;"% GDP", Database!$AD$6:$AD$197, 0))), INDEX(Database!$G$6:$G$197, MATCH($B51&amp;"% GDP", Database!$AD$6:$AD$197, 0)), "")</f>
        <v>9.1999999999999993</v>
      </c>
      <c r="P51" s="564">
        <f>IF(ISNUMBER(INDEX(Database!$H$6:$H$197, MATCH($B51&amp;"% GDP", Database!$AD$6:$AD$197, 0))), INDEX(Database!$H$6:$H$197, MATCH($B51&amp;"% GDP", Database!$AD$6:$AD$197, 0)), "")</f>
        <v>0.30432569974554707</v>
      </c>
      <c r="Q51" s="564">
        <f>IF(ISNUMBER(INDEX(Database!$J$6:$J$197, MATCH($B51&amp;"% GDP", Database!$AD$6:$AD$197, 0))), INDEX(Database!$J$6:$J$197, MATCH($B51&amp;"% GDP", Database!$AD$6:$AD$197, 0)), "")</f>
        <v>8.895674300254452</v>
      </c>
      <c r="R51" s="564" t="str">
        <f>IF(ISNUMBER(INDEX(Database!$L$6:$L$197, MATCH($B51&amp;"% GDP", Database!$AD$6:$AD$197, 0))), INDEX(Database!$L$6:$L$197, MATCH($B51&amp;"% GDP", Database!$AD$6:$AD$197, 0)), "")</f>
        <v/>
      </c>
      <c r="S51" s="564"/>
      <c r="T51" s="587">
        <f>IF(ISNUMBER(INDEX(Database!$P$6:$P$197, MATCH($B51&amp;"% GDP", Database!$AD$6:$AD$197, 0))), INDEX(Database!$P$6:$P$197, MATCH($B51&amp;"% GDP", Database!$AD$6:$AD$197, 0)), "")</f>
        <v>37.268193384223913</v>
      </c>
      <c r="U51" s="564">
        <f>IF(ISNUMBER(INDEX(Database!$Q$6:$Q$197, MATCH($B51&amp;"% GDP", Database!$AD$6:$AD$197, 0))), INDEX(Database!$Q$6:$Q$197, MATCH($B51&amp;"% GDP", Database!$AD$6:$AD$197, 0)), "")</f>
        <v>3.3241730279898221</v>
      </c>
      <c r="V51" s="564"/>
      <c r="W51" s="564" t="str">
        <f>IF(ISNUMBER(INDEX(Database!$U$6:$U$197, MATCH($B51&amp;"% GDP", Database!$AD$6:$AD$197, 0))), INDEX(Database!$U$6:$U$197, MATCH($B51&amp;"% GDP", Database!$AD$6:$AD$197, 0)), "")</f>
        <v/>
      </c>
      <c r="X51" s="564">
        <f>IF(ISNUMBER(INDEX(Database!$W$6:$W$197, MATCH($B51&amp;"% GDP", Database!$AD$6:$AD$197, 0))), INDEX(Database!$W$6:$W$197, MATCH($B51&amp;"% GDP", Database!$AD$6:$AD$197, 0)), "")</f>
        <v>33.944020356234091</v>
      </c>
    </row>
    <row r="52" spans="2:24" s="479" customFormat="1">
      <c r="B52" s="562" t="s">
        <v>1064</v>
      </c>
      <c r="C52" s="588" t="str">
        <f>IF(ISNUMBER(INDEX(Database!$G$6:$G$197, MATCH($B52&amp;"USD bn", Database!$AD$6:$AD$197, 0))), INDEX(Database!$G$6:$G$197, MATCH($B52&amp;"USD bn", Database!$AD$6:$AD$197, 0)), "")</f>
        <v/>
      </c>
      <c r="D52" s="567" t="str">
        <f>IF(ISNUMBER(INDEX(Database!$H$6:$H$197, MATCH($B52&amp;"USD bn", Database!$AD$6:$AD$197, 0))), INDEX(Database!$H$6:$H$197, MATCH($B52&amp;"USD bn", Database!$AD$6:$AD$197, 0)), "")</f>
        <v/>
      </c>
      <c r="E52" s="567" t="str">
        <f>IF(ISNUMBER(INDEX(Database!$J$6:$J$197, MATCH($B52&amp;"USD bn", Database!$AD$6:$AD$197, 0))), INDEX(Database!$J$6:$J$197, MATCH($B52&amp;"USD bn", Database!$AD$6:$AD$197, 0)), "")</f>
        <v/>
      </c>
      <c r="F52" s="567" t="str">
        <f>IF(ISNUMBER(INDEX(Database!$L$6:$L$197, MATCH($B52&amp;"USD bn", Database!$AD$6:$AD$197, 0))), INDEX(Database!$L$6:$L$197, MATCH($B52&amp;"USD bn", Database!$AD$6:$AD$197, 0)), "")</f>
        <v/>
      </c>
      <c r="G52" s="567"/>
      <c r="H52" s="588" t="str">
        <f>IF(ISNUMBER(INDEX(Database!$P$6:$P$197, MATCH($B52&amp;"USD bn", Database!$AD$6:$AD$197, 0))), INDEX(Database!$P$6:$P$197, MATCH($B52&amp;"USD bn", Database!$AD$6:$AD$197, 0)), "")</f>
        <v/>
      </c>
      <c r="I52" s="567" t="str">
        <f>IF(ISNUMBER(INDEX(Database!$Q$6:$Q$197, MATCH($B52&amp;"USD bn", Database!$AD$6:$AD$197, 0))), INDEX(Database!$Q$6:$Q$197, MATCH($B52&amp;"USD bn", Database!$AD$6:$AD$197, 0)), "")</f>
        <v/>
      </c>
      <c r="J52" s="567"/>
      <c r="K52" s="567" t="str">
        <f>IF(ISNUMBER(INDEX(Database!$U$6:$U$197, MATCH($B52&amp;"USD bn", Database!$AD$6:$AD$197, 0))), INDEX(Database!$U$6:$U$197, MATCH($B52&amp;"USD bn", Database!$AD$6:$AD$197, 0)), "")</f>
        <v/>
      </c>
      <c r="L52" s="567" t="str">
        <f>IF(ISNUMBER(INDEX(Database!$W$6:$W$197, MATCH($B52&amp;"USD bn", Database!$AD$6:$AD$197, 0))), INDEX(Database!$W$6:$W$197, MATCH($B52&amp;"USD bn", Database!$AD$6:$AD$197, 0)), "")</f>
        <v/>
      </c>
      <c r="O52" s="587" t="str">
        <f>IF(ISNUMBER(INDEX(Database!$G$6:$G$197, MATCH($B52&amp;"% GDP", Database!$AD$6:$AD$197, 0))), INDEX(Database!$G$6:$G$197, MATCH($B52&amp;"% GDP", Database!$AD$6:$AD$197, 0)), "")</f>
        <v/>
      </c>
      <c r="P52" s="564" t="str">
        <f>IF(ISNUMBER(INDEX(Database!$H$6:$H$197, MATCH($B52&amp;"% GDP", Database!$AD$6:$AD$197, 0))), INDEX(Database!$H$6:$H$197, MATCH($B52&amp;"% GDP", Database!$AD$6:$AD$197, 0)), "")</f>
        <v/>
      </c>
      <c r="Q52" s="564" t="str">
        <f>IF(ISNUMBER(INDEX(Database!$J$6:$J$197, MATCH($B52&amp;"% GDP", Database!$AD$6:$AD$197, 0))), INDEX(Database!$J$6:$J$197, MATCH($B52&amp;"% GDP", Database!$AD$6:$AD$197, 0)), "")</f>
        <v/>
      </c>
      <c r="R52" s="564" t="str">
        <f>IF(ISNUMBER(INDEX(Database!$L$6:$L$197, MATCH($B52&amp;"% GDP", Database!$AD$6:$AD$197, 0))), INDEX(Database!$L$6:$L$197, MATCH($B52&amp;"% GDP", Database!$AD$6:$AD$197, 0)), "")</f>
        <v/>
      </c>
      <c r="S52" s="564"/>
      <c r="T52" s="587" t="str">
        <f>IF(ISNUMBER(INDEX(Database!$P$6:$P$197, MATCH($B52&amp;"% GDP", Database!$AD$6:$AD$197, 0))), INDEX(Database!$P$6:$P$197, MATCH($B52&amp;"% GDP", Database!$AD$6:$AD$197, 0)), "")</f>
        <v/>
      </c>
      <c r="U52" s="564" t="str">
        <f>IF(ISNUMBER(INDEX(Database!$Q$6:$Q$197, MATCH($B52&amp;"% GDP", Database!$AD$6:$AD$197, 0))), INDEX(Database!$Q$6:$Q$197, MATCH($B52&amp;"% GDP", Database!$AD$6:$AD$197, 0)), "")</f>
        <v/>
      </c>
      <c r="V52" s="564"/>
      <c r="W52" s="564" t="str">
        <f>IF(ISNUMBER(INDEX(Database!$U$6:$U$197, MATCH($B52&amp;"% GDP", Database!$AD$6:$AD$197, 0))), INDEX(Database!$U$6:$U$197, MATCH($B52&amp;"% GDP", Database!$AD$6:$AD$197, 0)), "")</f>
        <v/>
      </c>
      <c r="X52" s="564" t="str">
        <f>IF(ISNUMBER(INDEX(Database!$W$6:$W$197, MATCH($B52&amp;"% GDP", Database!$AD$6:$AD$197, 0))), INDEX(Database!$W$6:$W$197, MATCH($B52&amp;"% GDP", Database!$AD$6:$AD$197, 0)), "")</f>
        <v/>
      </c>
    </row>
    <row r="53" spans="2:24" s="479" customFormat="1">
      <c r="B53" s="562" t="s">
        <v>963</v>
      </c>
      <c r="C53" s="588">
        <f>IF(ISNUMBER(INDEX(Database!$G$6:$G$197, MATCH($B53&amp;"USD bn", Database!$AD$6:$AD$197, 0))), INDEX(Database!$G$6:$G$197, MATCH($B53&amp;"USD bn", Database!$AD$6:$AD$197, 0)), "")</f>
        <v>0.6143669224556243</v>
      </c>
      <c r="D53" s="567">
        <f>IF(ISNUMBER(INDEX(Database!$H$6:$H$197, MATCH($B53&amp;"USD bn", Database!$AD$6:$AD$197, 0))), INDEX(Database!$H$6:$H$197, MATCH($B53&amp;"USD bn", Database!$AD$6:$AD$197, 0)), "")</f>
        <v>7.7721116696193429E-2</v>
      </c>
      <c r="E53" s="567">
        <f>IF(ISNUMBER(INDEX(Database!$J$6:$J$197, MATCH($B53&amp;"USD bn", Database!$AD$6:$AD$197, 0))), INDEX(Database!$J$6:$J$197, MATCH($B53&amp;"USD bn", Database!$AD$6:$AD$197, 0)), "")</f>
        <v>0.53664580575943077</v>
      </c>
      <c r="F53" s="567" t="str">
        <f>IF(ISNUMBER(INDEX(Database!$L$6:$L$197, MATCH($B53&amp;"USD bn", Database!$AD$6:$AD$197, 0))), INDEX(Database!$L$6:$L$197, MATCH($B53&amp;"USD bn", Database!$AD$6:$AD$197, 0)), "")</f>
        <v/>
      </c>
      <c r="G53" s="567"/>
      <c r="H53" s="588">
        <f>IF(ISNUMBER(INDEX(Database!$P$6:$P$197, MATCH($B53&amp;"USD bn", Database!$AD$6:$AD$197, 0))), INDEX(Database!$P$6:$P$197, MATCH($B53&amp;"USD bn", Database!$AD$6:$AD$197, 0)), "")</f>
        <v>0.37047065625185532</v>
      </c>
      <c r="I53" s="567" t="str">
        <f>IF(ISNUMBER(INDEX(Database!$Q$6:$Q$197, MATCH($B53&amp;"USD bn", Database!$AD$6:$AD$197, 0))), INDEX(Database!$Q$6:$Q$197, MATCH($B53&amp;"USD bn", Database!$AD$6:$AD$197, 0)), "")</f>
        <v/>
      </c>
      <c r="J53" s="567"/>
      <c r="K53" s="567">
        <f>IF(ISNUMBER(INDEX(Database!$U$6:$U$197, MATCH($B53&amp;"USD bn", Database!$AD$6:$AD$197, 0))), INDEX(Database!$U$6:$U$197, MATCH($B53&amp;"USD bn", Database!$AD$6:$AD$197, 0)), "")</f>
        <v>0.37047065625185532</v>
      </c>
      <c r="L53" s="567" t="str">
        <f>IF(ISNUMBER(INDEX(Database!$W$6:$W$197, MATCH($B53&amp;"USD bn", Database!$AD$6:$AD$197, 0))), INDEX(Database!$W$6:$W$197, MATCH($B53&amp;"USD bn", Database!$AD$6:$AD$197, 0)), "")</f>
        <v/>
      </c>
      <c r="O53" s="587">
        <f>IF(ISNUMBER(INDEX(Database!$G$6:$G$197, MATCH($B53&amp;"% GDP", Database!$AD$6:$AD$197, 0))), INDEX(Database!$G$6:$G$197, MATCH($B53&amp;"% GDP", Database!$AD$6:$AD$197, 0)), "")</f>
        <v>4.9999322298342346</v>
      </c>
      <c r="P53" s="564">
        <f>IF(ISNUMBER(INDEX(Database!$H$6:$H$197, MATCH($B53&amp;"% GDP", Database!$AD$6:$AD$197, 0))), INDEX(Database!$H$6:$H$197, MATCH($B53&amp;"% GDP", Database!$AD$6:$AD$197, 0)), "")</f>
        <v>0.63252154714770437</v>
      </c>
      <c r="Q53" s="564">
        <f>IF(ISNUMBER(INDEX(Database!$J$6:$J$197, MATCH($B53&amp;"% GDP", Database!$AD$6:$AD$197, 0))), INDEX(Database!$J$6:$J$197, MATCH($B53&amp;"% GDP", Database!$AD$6:$AD$197, 0)), "")</f>
        <v>4.36741068268653</v>
      </c>
      <c r="R53" s="564" t="str">
        <f>IF(ISNUMBER(INDEX(Database!$L$6:$L$197, MATCH($B53&amp;"% GDP", Database!$AD$6:$AD$197, 0))), INDEX(Database!$L$6:$L$197, MATCH($B53&amp;"% GDP", Database!$AD$6:$AD$197, 0)), "")</f>
        <v/>
      </c>
      <c r="S53" s="564"/>
      <c r="T53" s="587">
        <f>IF(ISNUMBER(INDEX(Database!$P$6:$P$197, MATCH($B53&amp;"% GDP", Database!$AD$6:$AD$197, 0))), INDEX(Database!$P$6:$P$197, MATCH($B53&amp;"% GDP", Database!$AD$6:$AD$197, 0)), "")</f>
        <v>3.0150193747373906</v>
      </c>
      <c r="U53" s="564" t="str">
        <f>IF(ISNUMBER(INDEX(Database!$Q$6:$Q$197, MATCH($B53&amp;"% GDP", Database!$AD$6:$AD$197, 0))), INDEX(Database!$Q$6:$Q$197, MATCH($B53&amp;"% GDP", Database!$AD$6:$AD$197, 0)), "")</f>
        <v/>
      </c>
      <c r="V53" s="564"/>
      <c r="W53" s="564">
        <f>IF(ISNUMBER(INDEX(Database!$U$6:$U$197, MATCH($B53&amp;"% GDP", Database!$AD$6:$AD$197, 0))), INDEX(Database!$U$6:$U$197, MATCH($B53&amp;"% GDP", Database!$AD$6:$AD$197, 0)), "")</f>
        <v>3.0150193747373906</v>
      </c>
      <c r="X53" s="564" t="str">
        <f>IF(ISNUMBER(INDEX(Database!$W$6:$W$197, MATCH($B53&amp;"% GDP", Database!$AD$6:$AD$197, 0))), INDEX(Database!$W$6:$W$197, MATCH($B53&amp;"% GDP", Database!$AD$6:$AD$197, 0)), "")</f>
        <v/>
      </c>
    </row>
    <row r="54" spans="2:24">
      <c r="B54" s="562" t="s">
        <v>554</v>
      </c>
      <c r="C54" s="588">
        <f>IF(ISNUMBER(INDEX(Database!$G$6:$G$197, MATCH($B54&amp;"USD bn", Database!$AD$6:$AD$197, 0))), INDEX(Database!$G$6:$G$197, MATCH($B54&amp;"USD bn", Database!$AD$6:$AD$197, 0)), "")</f>
        <v>5.2148375564455147</v>
      </c>
      <c r="D54" s="567">
        <f>IF(ISNUMBER(INDEX(Database!$H$6:$H$197, MATCH($B54&amp;"USD bn", Database!$AD$6:$AD$197, 0))), INDEX(Database!$H$6:$H$197, MATCH($B54&amp;"USD bn", Database!$AD$6:$AD$197, 0)), "")</f>
        <v>1.1210641123759681</v>
      </c>
      <c r="E54" s="567">
        <f>IF(ISNUMBER(INDEX(Database!$J$6:$J$197, MATCH($B54&amp;"USD bn", Database!$AD$6:$AD$197, 0))), INDEX(Database!$J$6:$J$197, MATCH($B54&amp;"USD bn", Database!$AD$6:$AD$197, 0)), "")</f>
        <v>4.0937734440695461</v>
      </c>
      <c r="F54" s="567">
        <f>IF(ISNUMBER(INDEX(Database!$L$6:$L$197, MATCH($B54&amp;"USD bn", Database!$AD$6:$AD$197, 0))), INDEX(Database!$L$6:$L$197, MATCH($B54&amp;"USD bn", Database!$AD$6:$AD$197, 0)), "")</f>
        <v>3.0230942356205883</v>
      </c>
      <c r="G54" s="567"/>
      <c r="H54" s="588" t="str">
        <f>IF(ISNUMBER(INDEX(Database!$P$6:$P$197, MATCH($B54&amp;"USD bn", Database!$AD$6:$AD$197, 0))), INDEX(Database!$P$6:$P$197, MATCH($B54&amp;"USD bn", Database!$AD$6:$AD$197, 0)), "")</f>
        <v/>
      </c>
      <c r="I54" s="567" t="str">
        <f>IF(ISNUMBER(INDEX(Database!$Q$6:$Q$197, MATCH($B54&amp;"USD bn", Database!$AD$6:$AD$197, 0))), INDEX(Database!$Q$6:$Q$197, MATCH($B54&amp;"USD bn", Database!$AD$6:$AD$197, 0)), "")</f>
        <v/>
      </c>
      <c r="J54" s="567"/>
      <c r="K54" s="567" t="str">
        <f>IF(ISNUMBER(INDEX(Database!$U$6:$U$197, MATCH($B54&amp;"USD bn", Database!$AD$6:$AD$197, 0))), INDEX(Database!$U$6:$U$197, MATCH($B54&amp;"USD bn", Database!$AD$6:$AD$197, 0)), "")</f>
        <v/>
      </c>
      <c r="L54" s="567" t="str">
        <f>IF(ISNUMBER(INDEX(Database!$W$6:$W$197, MATCH($B54&amp;"USD bn", Database!$AD$6:$AD$197, 0))), INDEX(Database!$W$6:$W$197, MATCH($B54&amp;"USD bn", Database!$AD$6:$AD$197, 0)), "")</f>
        <v/>
      </c>
      <c r="O54" s="587">
        <f>IF(ISNUMBER(INDEX(Database!$G$6:$G$197, MATCH($B54&amp;"% GDP", Database!$AD$6:$AD$197, 0))), INDEX(Database!$G$6:$G$197, MATCH($B54&amp;"% GDP", Database!$AD$6:$AD$197, 0)), "")</f>
        <v>1.9924764282578782</v>
      </c>
      <c r="P54" s="564">
        <f>IF(ISNUMBER(INDEX(Database!$H$6:$H$197, MATCH($B54&amp;"% GDP", Database!$AD$6:$AD$197, 0))), INDEX(Database!$H$6:$H$197, MATCH($B54&amp;"% GDP", Database!$AD$6:$AD$197, 0)), "")</f>
        <v>0.42833430462548588</v>
      </c>
      <c r="Q54" s="564">
        <f>IF(ISNUMBER(INDEX(Database!$J$6:$J$197, MATCH($B54&amp;"% GDP", Database!$AD$6:$AD$197, 0))), INDEX(Database!$J$6:$J$197, MATCH($B54&amp;"% GDP", Database!$AD$6:$AD$197, 0)), "")</f>
        <v>1.5641421236323922</v>
      </c>
      <c r="R54" s="564">
        <f>IF(ISNUMBER(INDEX(Database!$L$6:$L$197, MATCH($B54&amp;"% GDP", Database!$AD$6:$AD$197, 0))), INDEX(Database!$L$6:$L$197, MATCH($B54&amp;"% GDP", Database!$AD$6:$AD$197, 0)), "")</f>
        <v>1.1550587989900742</v>
      </c>
      <c r="S54" s="564"/>
      <c r="T54" s="587" t="str">
        <f>IF(ISNUMBER(INDEX(Database!$P$6:$P$197, MATCH($B54&amp;"% GDP", Database!$AD$6:$AD$197, 0))), INDEX(Database!$P$6:$P$197, MATCH($B54&amp;"% GDP", Database!$AD$6:$AD$197, 0)), "")</f>
        <v/>
      </c>
      <c r="U54" s="564" t="str">
        <f>IF(ISNUMBER(INDEX(Database!$Q$6:$Q$197, MATCH($B54&amp;"% GDP", Database!$AD$6:$AD$197, 0))), INDEX(Database!$Q$6:$Q$197, MATCH($B54&amp;"% GDP", Database!$AD$6:$AD$197, 0)), "")</f>
        <v/>
      </c>
      <c r="V54" s="564"/>
      <c r="W54" s="564" t="str">
        <f>IF(ISNUMBER(INDEX(Database!$U$6:$U$197, MATCH($B54&amp;"% GDP", Database!$AD$6:$AD$197, 0))), INDEX(Database!$U$6:$U$197, MATCH($B54&amp;"% GDP", Database!$AD$6:$AD$197, 0)), "")</f>
        <v/>
      </c>
      <c r="X54" s="564" t="str">
        <f>IF(ISNUMBER(INDEX(Database!$W$6:$W$197, MATCH($B54&amp;"% GDP", Database!$AD$6:$AD$197, 0))), INDEX(Database!$W$6:$W$197, MATCH($B54&amp;"% GDP", Database!$AD$6:$AD$197, 0)), "")</f>
        <v/>
      </c>
    </row>
    <row r="55" spans="2:24">
      <c r="B55" s="562" t="s">
        <v>555</v>
      </c>
      <c r="C55" s="588">
        <f>IF(ISNUMBER(INDEX(Database!$G$6:$G$197, MATCH($B55&amp;"USD bn", Database!$AD$6:$AD$197, 0))), INDEX(Database!$G$6:$G$197, MATCH($B55&amp;"USD bn", Database!$AD$6:$AD$197, 0)), "")</f>
        <v>19.711394276042082</v>
      </c>
      <c r="D55" s="567">
        <f>IF(ISNUMBER(INDEX(Database!$H$6:$H$197, MATCH($B55&amp;"USD bn", Database!$AD$6:$AD$197, 0))), INDEX(Database!$H$6:$H$197, MATCH($B55&amp;"USD bn", Database!$AD$6:$AD$197, 0)), "")</f>
        <v>3.4452457296794692</v>
      </c>
      <c r="E55" s="567">
        <f>IF(ISNUMBER(INDEX(Database!$J$6:$J$197, MATCH($B55&amp;"USD bn", Database!$AD$6:$AD$197, 0))), INDEX(Database!$J$6:$J$197, MATCH($B55&amp;"USD bn", Database!$AD$6:$AD$197, 0)), "")</f>
        <v>16.266148546362611</v>
      </c>
      <c r="F55" s="567">
        <f>IF(ISNUMBER(INDEX(Database!$L$6:$L$197, MATCH($B55&amp;"USD bn", Database!$AD$6:$AD$197, 0))), INDEX(Database!$L$6:$L$197, MATCH($B55&amp;"USD bn", Database!$AD$6:$AD$197, 0)), "")</f>
        <v>3.4458178870704317</v>
      </c>
      <c r="G55" s="567"/>
      <c r="H55" s="588">
        <f>IF(ISNUMBER(INDEX(Database!$P$6:$P$197, MATCH($B55&amp;"USD bn", Database!$AD$6:$AD$197, 0))), INDEX(Database!$P$6:$P$197, MATCH($B55&amp;"USD bn", Database!$AD$6:$AD$197, 0)), "")</f>
        <v>19.796645727295466</v>
      </c>
      <c r="I55" s="567">
        <f>IF(ISNUMBER(INDEX(Database!$Q$6:$Q$197, MATCH($B55&amp;"USD bn", Database!$AD$6:$AD$197, 0))), INDEX(Database!$Q$6:$Q$197, MATCH($B55&amp;"USD bn", Database!$AD$6:$AD$197, 0)), "")</f>
        <v>0</v>
      </c>
      <c r="J55" s="567"/>
      <c r="K55" s="567">
        <f>IF(ISNUMBER(INDEX(Database!$U$6:$U$197, MATCH($B55&amp;"USD bn", Database!$AD$6:$AD$197, 0))), INDEX(Database!$U$6:$U$197, MATCH($B55&amp;"USD bn", Database!$AD$6:$AD$197, 0)), "")</f>
        <v>19.796645727295466</v>
      </c>
      <c r="L55" s="567" t="str">
        <f>IF(ISNUMBER(INDEX(Database!$W$6:$W$197, MATCH($B55&amp;"USD bn", Database!$AD$6:$AD$197, 0))), INDEX(Database!$W$6:$W$197, MATCH($B55&amp;"USD bn", Database!$AD$6:$AD$197, 0)), "")</f>
        <v/>
      </c>
      <c r="O55" s="587">
        <f>IF(ISNUMBER(INDEX(Database!$G$6:$G$197, MATCH($B55&amp;"% GDP", Database!$AD$6:$AD$197, 0))), INDEX(Database!$G$6:$G$197, MATCH($B55&amp;"% GDP", Database!$AD$6:$AD$197, 0)), "")</f>
        <v>9.5938667869694285</v>
      </c>
      <c r="P55" s="564">
        <f>IF(ISNUMBER(INDEX(Database!$H$6:$H$197, MATCH($B55&amp;"% GDP", Database!$AD$6:$AD$197, 0))), INDEX(Database!$H$6:$H$197, MATCH($B55&amp;"% GDP", Database!$AD$6:$AD$197, 0)), "")</f>
        <v>1.6768589839986185</v>
      </c>
      <c r="Q55" s="564">
        <f>IF(ISNUMBER(INDEX(Database!$J$6:$J$197, MATCH($B55&amp;"% GDP", Database!$AD$6:$AD$197, 0))), INDEX(Database!$J$6:$J$197, MATCH($B55&amp;"% GDP", Database!$AD$6:$AD$197, 0)), "")</f>
        <v>7.9170078029708097</v>
      </c>
      <c r="R55" s="564">
        <f>IF(ISNUMBER(INDEX(Database!$L$6:$L$197, MATCH($B55&amp;"% GDP", Database!$AD$6:$AD$197, 0))), INDEX(Database!$L$6:$L$197, MATCH($B55&amp;"% GDP", Database!$AD$6:$AD$197, 0)), "")</f>
        <v>1.6771374626142459</v>
      </c>
      <c r="S55" s="564"/>
      <c r="T55" s="587">
        <f>IF(ISNUMBER(INDEX(Database!$P$6:$P$197, MATCH($B55&amp;"% GDP", Database!$AD$6:$AD$197, 0))), INDEX(Database!$P$6:$P$197, MATCH($B55&amp;"% GDP", Database!$AD$6:$AD$197, 0)), "")</f>
        <v>9.6353601006978682</v>
      </c>
      <c r="U55" s="564">
        <f>IF(ISNUMBER(INDEX(Database!$Q$6:$Q$197, MATCH($B55&amp;"% GDP", Database!$AD$6:$AD$197, 0))), INDEX(Database!$Q$6:$Q$197, MATCH($B55&amp;"% GDP", Database!$AD$6:$AD$197, 0)), "")</f>
        <v>0</v>
      </c>
      <c r="V55" s="564"/>
      <c r="W55" s="564">
        <f>IF(ISNUMBER(INDEX(Database!$U$6:$U$197, MATCH($B55&amp;"% GDP", Database!$AD$6:$AD$197, 0))), INDEX(Database!$U$6:$U$197, MATCH($B55&amp;"% GDP", Database!$AD$6:$AD$197, 0)), "")</f>
        <v>9.6353601006978682</v>
      </c>
      <c r="X55" s="564" t="str">
        <f>IF(ISNUMBER(INDEX(Database!$W$6:$W$197, MATCH($B55&amp;"% GDP", Database!$AD$6:$AD$197, 0))), INDEX(Database!$W$6:$W$197, MATCH($B55&amp;"% GDP", Database!$AD$6:$AD$197, 0)), "")</f>
        <v/>
      </c>
    </row>
    <row r="56" spans="2:24">
      <c r="B56" s="562" t="s">
        <v>556</v>
      </c>
      <c r="C56" s="588">
        <f>IF(ISNUMBER(INDEX(Database!$G$6:$G$197, MATCH($B56&amp;"USD bn", Database!$AD$6:$AD$197, 0))), INDEX(Database!$G$6:$G$197, MATCH($B56&amp;"USD bn", Database!$AD$6:$AD$197, 0)), "")</f>
        <v>16.101047676431413</v>
      </c>
      <c r="D56" s="567">
        <f>IF(ISNUMBER(INDEX(Database!$H$6:$H$197, MATCH($B56&amp;"USD bn", Database!$AD$6:$AD$197, 0))), INDEX(Database!$H$6:$H$197, MATCH($B56&amp;"USD bn", Database!$AD$6:$AD$197, 0)), "")</f>
        <v>3.2846943319878852</v>
      </c>
      <c r="E56" s="567">
        <f>IF(ISNUMBER(INDEX(Database!$J$6:$J$197, MATCH($B56&amp;"USD bn", Database!$AD$6:$AD$197, 0))), INDEX(Database!$J$6:$J$197, MATCH($B56&amp;"USD bn", Database!$AD$6:$AD$197, 0)), "")</f>
        <v>12.816353344443527</v>
      </c>
      <c r="F56" s="567" t="str">
        <f>IF(ISNUMBER(INDEX(Database!$L$6:$L$197, MATCH($B56&amp;"USD bn", Database!$AD$6:$AD$197, 0))), INDEX(Database!$L$6:$L$197, MATCH($B56&amp;"USD bn", Database!$AD$6:$AD$197, 0)), "")</f>
        <v/>
      </c>
      <c r="G56" s="567"/>
      <c r="H56" s="588">
        <f>IF(ISNUMBER(INDEX(Database!$P$6:$P$197, MATCH($B56&amp;"USD bn", Database!$AD$6:$AD$197, 0))), INDEX(Database!$P$6:$P$197, MATCH($B56&amp;"USD bn", Database!$AD$6:$AD$197, 0)), "")</f>
        <v>2.1159073917713367</v>
      </c>
      <c r="I56" s="567">
        <f>IF(ISNUMBER(INDEX(Database!$Q$6:$Q$197, MATCH($B56&amp;"USD bn", Database!$AD$6:$AD$197, 0))), INDEX(Database!$Q$6:$Q$197, MATCH($B56&amp;"USD bn", Database!$AD$6:$AD$197, 0)), "")</f>
        <v>0.10075749484625414</v>
      </c>
      <c r="J56" s="567"/>
      <c r="K56" s="567">
        <f>IF(ISNUMBER(INDEX(Database!$U$6:$U$197, MATCH($B56&amp;"USD bn", Database!$AD$6:$AD$197, 0))), INDEX(Database!$U$6:$U$197, MATCH($B56&amp;"USD bn", Database!$AD$6:$AD$197, 0)), "")</f>
        <v>2.0151498969250827</v>
      </c>
      <c r="L56" s="567" t="str">
        <f>IF(ISNUMBER(INDEX(Database!$W$6:$W$197, MATCH($B56&amp;"USD bn", Database!$AD$6:$AD$197, 0))), INDEX(Database!$W$6:$W$197, MATCH($B56&amp;"USD bn", Database!$AD$6:$AD$197, 0)), "")</f>
        <v/>
      </c>
      <c r="O56" s="587">
        <f>IF(ISNUMBER(INDEX(Database!$G$6:$G$197, MATCH($B56&amp;"% GDP", Database!$AD$6:$AD$197, 0))), INDEX(Database!$G$6:$G$197, MATCH($B56&amp;"% GDP", Database!$AD$6:$AD$197, 0)), "")</f>
        <v>4.4540862311094349</v>
      </c>
      <c r="P56" s="564">
        <f>IF(ISNUMBER(INDEX(Database!$H$6:$H$197, MATCH($B56&amp;"% GDP", Database!$AD$6:$AD$197, 0))), INDEX(Database!$H$6:$H$197, MATCH($B56&amp;"% GDP", Database!$AD$6:$AD$197, 0)), "")</f>
        <v>0.90865588945036024</v>
      </c>
      <c r="Q56" s="564">
        <f>IF(ISNUMBER(INDEX(Database!$J$6:$J$197, MATCH($B56&amp;"% GDP", Database!$AD$6:$AD$197, 0))), INDEX(Database!$J$6:$J$197, MATCH($B56&amp;"% GDP", Database!$AD$6:$AD$197, 0)), "")</f>
        <v>3.545430341659074</v>
      </c>
      <c r="R56" s="564" t="str">
        <f>IF(ISNUMBER(INDEX(Database!$L$6:$L$197, MATCH($B56&amp;"% GDP", Database!$AD$6:$AD$197, 0))), INDEX(Database!$L$6:$L$197, MATCH($B56&amp;"% GDP", Database!$AD$6:$AD$197, 0)), "")</f>
        <v/>
      </c>
      <c r="S56" s="564"/>
      <c r="T56" s="587">
        <f>IF(ISNUMBER(INDEX(Database!$P$6:$P$197, MATCH($B56&amp;"% GDP", Database!$AD$6:$AD$197, 0))), INDEX(Database!$P$6:$P$197, MATCH($B56&amp;"% GDP", Database!$AD$6:$AD$197, 0)), "")</f>
        <v>0.58533048093428119</v>
      </c>
      <c r="U56" s="564">
        <f>IF(ISNUMBER(INDEX(Database!$Q$6:$Q$197, MATCH($B56&amp;"% GDP", Database!$AD$6:$AD$197, 0))), INDEX(Database!$Q$6:$Q$197, MATCH($B56&amp;"% GDP", Database!$AD$6:$AD$197, 0)), "")</f>
        <v>2.7872880044489574E-2</v>
      </c>
      <c r="V56" s="564"/>
      <c r="W56" s="564">
        <f>IF(ISNUMBER(INDEX(Database!$U$6:$U$197, MATCH($B56&amp;"% GDP", Database!$AD$6:$AD$197, 0))), INDEX(Database!$U$6:$U$197, MATCH($B56&amp;"% GDP", Database!$AD$6:$AD$197, 0)), "")</f>
        <v>0.55745760088979157</v>
      </c>
      <c r="X56" s="564" t="str">
        <f>IF(ISNUMBER(INDEX(Database!$W$6:$W$197, MATCH($B56&amp;"% GDP", Database!$AD$6:$AD$197, 0))), INDEX(Database!$W$6:$W$197, MATCH($B56&amp;"% GDP", Database!$AD$6:$AD$197, 0)), "")</f>
        <v/>
      </c>
    </row>
    <row r="57" spans="2:24">
      <c r="B57" s="562" t="s">
        <v>22</v>
      </c>
      <c r="C57" s="588">
        <f>IF(ISNUMBER(INDEX(Database!$G$6:$G$197, MATCH($B57&amp;"USD bn", Database!$AD$6:$AD$197, 0))), INDEX(Database!$G$6:$G$197, MATCH($B57&amp;"USD bn", Database!$AD$6:$AD$197, 0)), "")</f>
        <v>38.516359409090974</v>
      </c>
      <c r="D57" s="567">
        <f>IF(ISNUMBER(INDEX(Database!$H$6:$H$197, MATCH($B57&amp;"USD bn", Database!$AD$6:$AD$197, 0))), INDEX(Database!$H$6:$H$197, MATCH($B57&amp;"USD bn", Database!$AD$6:$AD$197, 0)), "")</f>
        <v>3.7695771192652283</v>
      </c>
      <c r="E57" s="567">
        <f>IF(ISNUMBER(INDEX(Database!$J$6:$J$197, MATCH($B57&amp;"USD bn", Database!$AD$6:$AD$197, 0))), INDEX(Database!$J$6:$J$197, MATCH($B57&amp;"USD bn", Database!$AD$6:$AD$197, 0)), "")</f>
        <v>34.746782289825745</v>
      </c>
      <c r="F57" s="567" t="str">
        <f>IF(ISNUMBER(INDEX(Database!$L$6:$L$197, MATCH($B57&amp;"USD bn", Database!$AD$6:$AD$197, 0))), INDEX(Database!$L$6:$L$197, MATCH($B57&amp;"USD bn", Database!$AD$6:$AD$197, 0)), "")</f>
        <v/>
      </c>
      <c r="G57" s="567"/>
      <c r="H57" s="588">
        <f>IF(ISNUMBER(INDEX(Database!$P$6:$P$197, MATCH($B57&amp;"USD bn", Database!$AD$6:$AD$197, 0))), INDEX(Database!$P$6:$P$197, MATCH($B57&amp;"USD bn", Database!$AD$6:$AD$197, 0)), "")</f>
        <v>28.720587575354124</v>
      </c>
      <c r="I57" s="567">
        <f>IF(ISNUMBER(INDEX(Database!$Q$6:$Q$197, MATCH($B57&amp;"USD bn", Database!$AD$6:$AD$197, 0))), INDEX(Database!$Q$6:$Q$197, MATCH($B57&amp;"USD bn", Database!$AD$6:$AD$197, 0)), "")</f>
        <v>9.7444850702094339</v>
      </c>
      <c r="J57" s="567"/>
      <c r="K57" s="567">
        <f>IF(ISNUMBER(INDEX(Database!$U$6:$U$197, MATCH($B57&amp;"USD bn", Database!$AD$6:$AD$197, 0))), INDEX(Database!$U$6:$U$197, MATCH($B57&amp;"USD bn", Database!$AD$6:$AD$197, 0)), "")</f>
        <v>18.976102505144688</v>
      </c>
      <c r="L57" s="567" t="str">
        <f>IF(ISNUMBER(INDEX(Database!$W$6:$W$197, MATCH($B57&amp;"USD bn", Database!$AD$6:$AD$197, 0))), INDEX(Database!$W$6:$W$197, MATCH($B57&amp;"USD bn", Database!$AD$6:$AD$197, 0)), "")</f>
        <v/>
      </c>
      <c r="O57" s="587">
        <f>IF(ISNUMBER(INDEX(Database!$G$6:$G$197, MATCH($B57&amp;"% GDP", Database!$AD$6:$AD$197, 0))), INDEX(Database!$G$6:$G$197, MATCH($B57&amp;"% GDP", Database!$AD$6:$AD$197, 0)), "")</f>
        <v>6.463386978297736</v>
      </c>
      <c r="P57" s="564">
        <f>IF(ISNUMBER(INDEX(Database!$H$6:$H$197, MATCH($B57&amp;"% GDP", Database!$AD$6:$AD$197, 0))), INDEX(Database!$H$6:$H$197, MATCH($B57&amp;"% GDP", Database!$AD$6:$AD$197, 0)), "")</f>
        <v>0.63256849920756808</v>
      </c>
      <c r="Q57" s="564">
        <f>IF(ISNUMBER(INDEX(Database!$J$6:$J$197, MATCH($B57&amp;"% GDP", Database!$AD$6:$AD$197, 0))), INDEX(Database!$J$6:$J$197, MATCH($B57&amp;"% GDP", Database!$AD$6:$AD$197, 0)), "")</f>
        <v>5.8308184790901691</v>
      </c>
      <c r="R57" s="564" t="str">
        <f>IF(ISNUMBER(INDEX(Database!$L$6:$L$197, MATCH($B57&amp;"% GDP", Database!$AD$6:$AD$197, 0))), INDEX(Database!$L$6:$L$197, MATCH($B57&amp;"% GDP", Database!$AD$6:$AD$197, 0)), "")</f>
        <v/>
      </c>
      <c r="S57" s="564"/>
      <c r="T57" s="587">
        <f>IF(ISNUMBER(INDEX(Database!$P$6:$P$197, MATCH($B57&amp;"% GDP", Database!$AD$6:$AD$197, 0))), INDEX(Database!$P$6:$P$197, MATCH($B57&amp;"% GDP", Database!$AD$6:$AD$197, 0)), "")</f>
        <v>4.8195695177719475</v>
      </c>
      <c r="U57" s="564">
        <f>IF(ISNUMBER(INDEX(Database!$Q$6:$Q$197, MATCH($B57&amp;"% GDP", Database!$AD$6:$AD$197, 0))), INDEX(Database!$Q$6:$Q$197, MATCH($B57&amp;"% GDP", Database!$AD$6:$AD$197, 0)), "")</f>
        <v>1.6352110863869107</v>
      </c>
      <c r="V57" s="564"/>
      <c r="W57" s="564">
        <f>IF(ISNUMBER(INDEX(Database!$U$6:$U$197, MATCH($B57&amp;"% GDP", Database!$AD$6:$AD$197, 0))), INDEX(Database!$U$6:$U$197, MATCH($B57&amp;"% GDP", Database!$AD$6:$AD$197, 0)), "")</f>
        <v>3.184358431385037</v>
      </c>
      <c r="X57" s="564" t="str">
        <f>IF(ISNUMBER(INDEX(Database!$W$6:$W$197, MATCH($B57&amp;"% GDP", Database!$AD$6:$AD$197, 0))), INDEX(Database!$W$6:$W$197, MATCH($B57&amp;"% GDP", Database!$AD$6:$AD$197, 0)), "")</f>
        <v/>
      </c>
    </row>
    <row r="58" spans="2:24">
      <c r="B58" s="562" t="s">
        <v>557</v>
      </c>
      <c r="C58" s="588">
        <f>IF(ISNUMBER(INDEX(Database!$G$6:$G$197, MATCH($B58&amp;"USD bn", Database!$AD$6:$AD$197, 0))), INDEX(Database!$G$6:$G$197, MATCH($B58&amp;"USD bn", Database!$AD$6:$AD$197, 0)), "")</f>
        <v>8.4825802752518751</v>
      </c>
      <c r="D58" s="567">
        <f>IF(ISNUMBER(INDEX(Database!$H$6:$H$197, MATCH($B58&amp;"USD bn", Database!$AD$6:$AD$197, 0))), INDEX(Database!$H$6:$H$197, MATCH($B58&amp;"USD bn", Database!$AD$6:$AD$197, 0)), "")</f>
        <v>2.3562722986810765</v>
      </c>
      <c r="E58" s="567">
        <f>IF(ISNUMBER(INDEX(Database!$J$6:$J$197, MATCH($B58&amp;"USD bn", Database!$AD$6:$AD$197, 0))), INDEX(Database!$J$6:$J$197, MATCH($B58&amp;"USD bn", Database!$AD$6:$AD$197, 0)), "")</f>
        <v>6.1263079765707982</v>
      </c>
      <c r="F58" s="567">
        <f>IF(ISNUMBER(INDEX(Database!$L$6:$L$197, MATCH($B58&amp;"USD bn", Database!$AD$6:$AD$197, 0))), INDEX(Database!$L$6:$L$197, MATCH($B58&amp;"USD bn", Database!$AD$6:$AD$197, 0)), "")</f>
        <v>0.54194262869664755</v>
      </c>
      <c r="G58" s="567"/>
      <c r="H58" s="588">
        <f>IF(ISNUMBER(INDEX(Database!$P$6:$P$197, MATCH($B58&amp;"USD bn", Database!$AD$6:$AD$197, 0))), INDEX(Database!$P$6:$P$197, MATCH($B58&amp;"USD bn", Database!$AD$6:$AD$197, 0)), "")</f>
        <v>10.391160837183547</v>
      </c>
      <c r="I58" s="567">
        <f>IF(ISNUMBER(INDEX(Database!$Q$6:$Q$197, MATCH($B58&amp;"USD bn", Database!$AD$6:$AD$197, 0))), INDEX(Database!$Q$6:$Q$197, MATCH($B58&amp;"USD bn", Database!$AD$6:$AD$197, 0)), "")</f>
        <v>0.40056629077578298</v>
      </c>
      <c r="J58" s="567"/>
      <c r="K58" s="567">
        <f>IF(ISNUMBER(INDEX(Database!$U$6:$U$197, MATCH($B58&amp;"USD bn", Database!$AD$6:$AD$197, 0))), INDEX(Database!$U$6:$U$197, MATCH($B58&amp;"USD bn", Database!$AD$6:$AD$197, 0)), "")</f>
        <v>9.9905945464077632</v>
      </c>
      <c r="L58" s="567" t="str">
        <f>IF(ISNUMBER(INDEX(Database!$W$6:$W$197, MATCH($B58&amp;"USD bn", Database!$AD$6:$AD$197, 0))), INDEX(Database!$W$6:$W$197, MATCH($B58&amp;"USD bn", Database!$AD$6:$AD$197, 0)), "")</f>
        <v/>
      </c>
      <c r="O58" s="587">
        <f>IF(ISNUMBER(INDEX(Database!$G$6:$G$197, MATCH($B58&amp;"% GDP", Database!$AD$6:$AD$197, 0))), INDEX(Database!$G$6:$G$197, MATCH($B58&amp;"% GDP", Database!$AD$6:$AD$197, 0)), "")</f>
        <v>3.4105481432975906</v>
      </c>
      <c r="P58" s="564">
        <f>IF(ISNUMBER(INDEX(Database!$H$6:$H$197, MATCH($B58&amp;"% GDP", Database!$AD$6:$AD$197, 0))), INDEX(Database!$H$6:$H$197, MATCH($B58&amp;"% GDP", Database!$AD$6:$AD$197, 0)), "")</f>
        <v>0.94737448424933068</v>
      </c>
      <c r="Q58" s="564">
        <f>IF(ISNUMBER(INDEX(Database!$J$6:$J$197, MATCH($B58&amp;"% GDP", Database!$AD$6:$AD$197, 0))), INDEX(Database!$J$6:$J$197, MATCH($B58&amp;"% GDP", Database!$AD$6:$AD$197, 0)), "")</f>
        <v>2.4631736590482598</v>
      </c>
      <c r="R58" s="564">
        <f>IF(ISNUMBER(INDEX(Database!$L$6:$L$197, MATCH($B58&amp;"% GDP", Database!$AD$6:$AD$197, 0))), INDEX(Database!$L$6:$L$197, MATCH($B58&amp;"% GDP", Database!$AD$6:$AD$197, 0)), "")</f>
        <v>0.21789613137734604</v>
      </c>
      <c r="S58" s="564"/>
      <c r="T58" s="587">
        <f>IF(ISNUMBER(INDEX(Database!$P$6:$P$197, MATCH($B58&amp;"% GDP", Database!$AD$6:$AD$197, 0))), INDEX(Database!$P$6:$P$197, MATCH($B58&amp;"% GDP", Database!$AD$6:$AD$197, 0)), "")</f>
        <v>4.1779214755395486</v>
      </c>
      <c r="U58" s="564">
        <f>IF(ISNUMBER(INDEX(Database!$Q$6:$Q$197, MATCH($B58&amp;"% GDP", Database!$AD$6:$AD$197, 0))), INDEX(Database!$Q$6:$Q$197, MATCH($B58&amp;"% GDP", Database!$AD$6:$AD$197, 0)), "")</f>
        <v>0.16105366232238622</v>
      </c>
      <c r="V58" s="564"/>
      <c r="W58" s="564">
        <f>IF(ISNUMBER(INDEX(Database!$U$6:$U$197, MATCH($B58&amp;"% GDP", Database!$AD$6:$AD$197, 0))), INDEX(Database!$U$6:$U$197, MATCH($B58&amp;"% GDP", Database!$AD$6:$AD$197, 0)), "")</f>
        <v>4.0168678132171625</v>
      </c>
      <c r="X58" s="564" t="str">
        <f>IF(ISNUMBER(INDEX(Database!$W$6:$W$197, MATCH($B58&amp;"% GDP", Database!$AD$6:$AD$197, 0))), INDEX(Database!$W$6:$W$197, MATCH($B58&amp;"% GDP", Database!$AD$6:$AD$197, 0)), "")</f>
        <v/>
      </c>
    </row>
    <row r="59" spans="2:24" s="479" customFormat="1">
      <c r="B59" s="562" t="s">
        <v>953</v>
      </c>
      <c r="C59" s="588">
        <f>IF(ISNUMBER(INDEX(Database!$G$6:$G$197, MATCH($B59&amp;"USD bn", Database!$AD$6:$AD$197, 0))), INDEX(Database!$G$6:$G$197, MATCH($B59&amp;"USD bn", Database!$AD$6:$AD$197, 0)), "")</f>
        <v>6.4363979597070609</v>
      </c>
      <c r="D59" s="567">
        <f>IF(ISNUMBER(INDEX(Database!$H$6:$H$197, MATCH($B59&amp;"USD bn", Database!$AD$6:$AD$197, 0))), INDEX(Database!$H$6:$H$197, MATCH($B59&amp;"USD bn", Database!$AD$6:$AD$197, 0)), "")</f>
        <v>1.2116713026556967</v>
      </c>
      <c r="E59" s="567">
        <f>IF(ISNUMBER(INDEX(Database!$J$6:$J$197, MATCH($B59&amp;"USD bn", Database!$AD$6:$AD$197, 0))), INDEX(Database!$J$6:$J$197, MATCH($B59&amp;"USD bn", Database!$AD$6:$AD$197, 0)), "")</f>
        <v>5.2247266570513649</v>
      </c>
      <c r="F59" s="567">
        <f>IF(ISNUMBER(INDEX(Database!$L$6:$L$197, MATCH($B59&amp;"USD bn", Database!$AD$6:$AD$197, 0))), INDEX(Database!$L$6:$L$197, MATCH($B59&amp;"USD bn", Database!$AD$6:$AD$197, 0)), "")</f>
        <v>1.434618822344345</v>
      </c>
      <c r="G59" s="567"/>
      <c r="H59" s="588">
        <f>IF(ISNUMBER(INDEX(Database!$P$6:$P$197, MATCH($B59&amp;"USD bn", Database!$AD$6:$AD$197, 0))), INDEX(Database!$P$6:$P$197, MATCH($B59&amp;"USD bn", Database!$AD$6:$AD$197, 0)), "")</f>
        <v>1.6963398237179754</v>
      </c>
      <c r="I59" s="567" t="str">
        <f>IF(ISNUMBER(INDEX(Database!$Q$6:$Q$197, MATCH($B59&amp;"USD bn", Database!$AD$6:$AD$197, 0))), INDEX(Database!$Q$6:$Q$197, MATCH($B59&amp;"USD bn", Database!$AD$6:$AD$197, 0)), "")</f>
        <v/>
      </c>
      <c r="J59" s="567"/>
      <c r="K59" s="567">
        <f>IF(ISNUMBER(INDEX(Database!$U$6:$U$197, MATCH($B59&amp;"USD bn", Database!$AD$6:$AD$197, 0))), INDEX(Database!$U$6:$U$197, MATCH($B59&amp;"USD bn", Database!$AD$6:$AD$197, 0)), "")</f>
        <v>1.6963398237179754</v>
      </c>
      <c r="L59" s="567">
        <f>IF(ISNUMBER(INDEX(Database!$W$6:$W$197, MATCH($B59&amp;"USD bn", Database!$AD$6:$AD$197, 0))), INDEX(Database!$W$6:$W$197, MATCH($B59&amp;"USD bn", Database!$AD$6:$AD$197, 0)), "")</f>
        <v>0</v>
      </c>
      <c r="O59" s="587">
        <f>IF(ISNUMBER(INDEX(Database!$G$6:$G$197, MATCH($B59&amp;"% GDP", Database!$AD$6:$AD$197, 0))), INDEX(Database!$G$6:$G$197, MATCH($B59&amp;"% GDP", Database!$AD$6:$AD$197, 0)), "")</f>
        <v>12.153288105042478</v>
      </c>
      <c r="P59" s="564">
        <f>IF(ISNUMBER(INDEX(Database!$H$6:$H$197, MATCH($B59&amp;"% GDP", Database!$AD$6:$AD$197, 0))), INDEX(Database!$H$6:$H$197, MATCH($B59&amp;"% GDP", Database!$AD$6:$AD$197, 0)), "")</f>
        <v>2.2878930920637197</v>
      </c>
      <c r="Q59" s="564">
        <f>IF(ISNUMBER(INDEX(Database!$J$6:$J$197, MATCH($B59&amp;"% GDP", Database!$AD$6:$AD$197, 0))), INDEX(Database!$J$6:$J$197, MATCH($B59&amp;"% GDP", Database!$AD$6:$AD$197, 0)), "")</f>
        <v>9.8653950129787589</v>
      </c>
      <c r="R59" s="564">
        <f>IF(ISNUMBER(INDEX(Database!$L$6:$L$197, MATCH($B59&amp;"% GDP", Database!$AD$6:$AD$197, 0))), INDEX(Database!$L$6:$L$197, MATCH($B59&amp;"% GDP", Database!$AD$6:$AD$197, 0)), "")</f>
        <v>2.708865421003444</v>
      </c>
      <c r="S59" s="564"/>
      <c r="T59" s="587">
        <f>IF(ISNUMBER(INDEX(Database!$P$6:$P$197, MATCH($B59&amp;"% GDP", Database!$AD$6:$AD$197, 0))), INDEX(Database!$P$6:$P$197, MATCH($B59&amp;"% GDP", Database!$AD$6:$AD$197, 0)), "")</f>
        <v>3.203050328889208</v>
      </c>
      <c r="U59" s="564" t="str">
        <f>IF(ISNUMBER(INDEX(Database!$Q$6:$Q$197, MATCH($B59&amp;"% GDP", Database!$AD$6:$AD$197, 0))), INDEX(Database!$Q$6:$Q$197, MATCH($B59&amp;"% GDP", Database!$AD$6:$AD$197, 0)), "")</f>
        <v/>
      </c>
      <c r="V59" s="564"/>
      <c r="W59" s="564">
        <f>IF(ISNUMBER(INDEX(Database!$U$6:$U$197, MATCH($B59&amp;"% GDP", Database!$AD$6:$AD$197, 0))), INDEX(Database!$U$6:$U$197, MATCH($B59&amp;"% GDP", Database!$AD$6:$AD$197, 0)), "")</f>
        <v>3.203050328889208</v>
      </c>
      <c r="X59" s="564">
        <f>IF(ISNUMBER(INDEX(Database!$W$6:$W$197, MATCH($B59&amp;"% GDP", Database!$AD$6:$AD$197, 0))), INDEX(Database!$W$6:$W$197, MATCH($B59&amp;"% GDP", Database!$AD$6:$AD$197, 0)), "")</f>
        <v>0</v>
      </c>
    </row>
    <row r="60" spans="2:24">
      <c r="B60" s="562" t="s">
        <v>559</v>
      </c>
      <c r="C60" s="588">
        <f>IF(ISNUMBER(INDEX(Database!$G$6:$G$197, MATCH($B60&amp;"USD bn", Database!$AD$6:$AD$197, 0))), INDEX(Database!$G$6:$G$197, MATCH($B60&amp;"USD bn", Database!$AD$6:$AD$197, 0)), "")</f>
        <v>73.187651709336336</v>
      </c>
      <c r="D60" s="567" t="str">
        <f>IF(ISNUMBER(INDEX(Database!$H$6:$H$197, MATCH($B60&amp;"USD bn", Database!$AD$6:$AD$197, 0))), INDEX(Database!$H$6:$H$197, MATCH($B60&amp;"USD bn", Database!$AD$6:$AD$197, 0)), "")</f>
        <v/>
      </c>
      <c r="E60" s="567" t="str">
        <f>IF(ISNUMBER(INDEX(Database!$J$6:$J$197, MATCH($B60&amp;"USD bn", Database!$AD$6:$AD$197, 0))), INDEX(Database!$J$6:$J$197, MATCH($B60&amp;"USD bn", Database!$AD$6:$AD$197, 0)), "")</f>
        <v/>
      </c>
      <c r="F60" s="567" t="str">
        <f>IF(ISNUMBER(INDEX(Database!$L$6:$L$197, MATCH($B60&amp;"USD bn", Database!$AD$6:$AD$197, 0))), INDEX(Database!$L$6:$L$197, MATCH($B60&amp;"USD bn", Database!$AD$6:$AD$197, 0)), "")</f>
        <v/>
      </c>
      <c r="G60" s="567"/>
      <c r="H60" s="588">
        <f>IF(ISNUMBER(INDEX(Database!$P$6:$P$197, MATCH($B60&amp;"USD bn", Database!$AD$6:$AD$197, 0))), INDEX(Database!$P$6:$P$197, MATCH($B60&amp;"USD bn", Database!$AD$6:$AD$197, 0)), "")</f>
        <v>21.253182701619505</v>
      </c>
      <c r="I60" s="567">
        <f>IF(ISNUMBER(INDEX(Database!$Q$6:$Q$197, MATCH($B60&amp;"USD bn", Database!$AD$6:$AD$197, 0))), INDEX(Database!$Q$6:$Q$197, MATCH($B60&amp;"USD bn", Database!$AD$6:$AD$197, 0)), "")</f>
        <v>2.8763705911966246</v>
      </c>
      <c r="J60" s="567"/>
      <c r="K60" s="567">
        <f>IF(ISNUMBER(INDEX(Database!$U$6:$U$197, MATCH($B60&amp;"USD bn", Database!$AD$6:$AD$197, 0))), INDEX(Database!$U$6:$U$197, MATCH($B60&amp;"USD bn", Database!$AD$6:$AD$197, 0)), "")</f>
        <v>10.386893801543367</v>
      </c>
      <c r="L60" s="567">
        <f>IF(ISNUMBER(INDEX(Database!$W$6:$W$197, MATCH($B60&amp;"USD bn", Database!$AD$6:$AD$197, 0))), INDEX(Database!$W$6:$W$197, MATCH($B60&amp;"USD bn", Database!$AD$6:$AD$197, 0)), "")</f>
        <v>7.9899183088795134</v>
      </c>
      <c r="O60" s="587">
        <f>IF(ISNUMBER(INDEX(Database!$G$6:$G$197, MATCH($B60&amp;"% GDP", Database!$AD$6:$AD$197, 0))), INDEX(Database!$G$6:$G$197, MATCH($B60&amp;"% GDP", Database!$AD$6:$AD$197, 0)), "")</f>
        <v>14.587579816038515</v>
      </c>
      <c r="P60" s="564" t="str">
        <f>IF(ISNUMBER(INDEX(Database!$H$6:$H$197, MATCH($B60&amp;"% GDP", Database!$AD$6:$AD$197, 0))), INDEX(Database!$H$6:$H$197, MATCH($B60&amp;"% GDP", Database!$AD$6:$AD$197, 0)), "")</f>
        <v/>
      </c>
      <c r="Q60" s="564" t="str">
        <f>IF(ISNUMBER(INDEX(Database!$J$6:$J$197, MATCH($B60&amp;"% GDP", Database!$AD$6:$AD$197, 0))), INDEX(Database!$J$6:$J$197, MATCH($B60&amp;"% GDP", Database!$AD$6:$AD$197, 0)), "")</f>
        <v/>
      </c>
      <c r="R60" s="564" t="str">
        <f>IF(ISNUMBER(INDEX(Database!$L$6:$L$197, MATCH($B60&amp;"% GDP", Database!$AD$6:$AD$197, 0))), INDEX(Database!$L$6:$L$197, MATCH($B60&amp;"% GDP", Database!$AD$6:$AD$197, 0)), "")</f>
        <v/>
      </c>
      <c r="S60" s="564"/>
      <c r="T60" s="587">
        <f>IF(ISNUMBER(INDEX(Database!$P$6:$P$197, MATCH($B60&amp;"% GDP", Database!$AD$6:$AD$197, 0))), INDEX(Database!$P$6:$P$197, MATCH($B60&amp;"% GDP", Database!$AD$6:$AD$197, 0)), "")</f>
        <v>4.2361312566225386</v>
      </c>
      <c r="U60" s="564">
        <f>IF(ISNUMBER(INDEX(Database!$Q$6:$Q$197, MATCH($B60&amp;"% GDP", Database!$AD$6:$AD$197, 0))), INDEX(Database!$Q$6:$Q$197, MATCH($B60&amp;"% GDP", Database!$AD$6:$AD$197, 0)), "")</f>
        <v>0.57331099713688494</v>
      </c>
      <c r="V60" s="564"/>
      <c r="W60" s="564">
        <f>IF(ISNUMBER(INDEX(Database!$U$6:$U$197, MATCH($B60&amp;"% GDP", Database!$AD$6:$AD$197, 0))), INDEX(Database!$U$6:$U$197, MATCH($B60&amp;"% GDP", Database!$AD$6:$AD$197, 0)), "")</f>
        <v>2.0702897118831953</v>
      </c>
      <c r="X60" s="564">
        <f>IF(ISNUMBER(INDEX(Database!$W$6:$W$197, MATCH($B60&amp;"% GDP", Database!$AD$6:$AD$197, 0))), INDEX(Database!$W$6:$W$197, MATCH($B60&amp;"% GDP", Database!$AD$6:$AD$197, 0)), "")</f>
        <v>1.592530547602458</v>
      </c>
    </row>
    <row r="61" spans="2:24">
      <c r="B61" s="562" t="s">
        <v>30</v>
      </c>
      <c r="C61" s="588">
        <f>IF(ISNUMBER(INDEX(Database!$G$6:$G$197, MATCH($B61&amp;"USD bn", Database!$AD$6:$AD$197, 0))), INDEX(Database!$G$6:$G$197, MATCH($B61&amp;"USD bn", Database!$AD$6:$AD$197, 0)), "")</f>
        <v>1.0614213919969644</v>
      </c>
      <c r="D61" s="567">
        <f>IF(ISNUMBER(INDEX(Database!$H$6:$H$197, MATCH($B61&amp;"USD bn", Database!$AD$6:$AD$197, 0))), INDEX(Database!$H$6:$H$197, MATCH($B61&amp;"USD bn", Database!$AD$6:$AD$197, 0)), "")</f>
        <v>0.14045609709842577</v>
      </c>
      <c r="E61" s="567">
        <f>IF(ISNUMBER(INDEX(Database!$J$6:$J$197, MATCH($B61&amp;"USD bn", Database!$AD$6:$AD$197, 0))), INDEX(Database!$J$6:$J$197, MATCH($B61&amp;"USD bn", Database!$AD$6:$AD$197, 0)), "")</f>
        <v>0.92096529489853862</v>
      </c>
      <c r="F61" s="567">
        <f>IF(ISNUMBER(INDEX(Database!$L$6:$L$197, MATCH($B61&amp;"USD bn", Database!$AD$6:$AD$197, 0))), INDEX(Database!$L$6:$L$197, MATCH($B61&amp;"USD bn", Database!$AD$6:$AD$197, 0)), "")</f>
        <v>0.1066755167836145</v>
      </c>
      <c r="G61" s="567"/>
      <c r="H61" s="588">
        <f>IF(ISNUMBER(INDEX(Database!$P$6:$P$197, MATCH($B61&amp;"USD bn", Database!$AD$6:$AD$197, 0))), INDEX(Database!$P$6:$P$197, MATCH($B61&amp;"USD bn", Database!$AD$6:$AD$197, 0)), "")</f>
        <v>0.32002655035084349</v>
      </c>
      <c r="I61" s="567">
        <f>IF(ISNUMBER(INDEX(Database!$Q$6:$Q$197, MATCH($B61&amp;"USD bn", Database!$AD$6:$AD$197, 0))), INDEX(Database!$Q$6:$Q$197, MATCH($B61&amp;"USD bn", Database!$AD$6:$AD$197, 0)), "")</f>
        <v>0.24890953916176717</v>
      </c>
      <c r="J61" s="567"/>
      <c r="K61" s="567">
        <f>IF(ISNUMBER(INDEX(Database!$U$6:$U$197, MATCH($B61&amp;"USD bn", Database!$AD$6:$AD$197, 0))), INDEX(Database!$U$6:$U$197, MATCH($B61&amp;"USD bn", Database!$AD$6:$AD$197, 0)), "")</f>
        <v>7.1117011189076346E-2</v>
      </c>
      <c r="L61" s="567" t="str">
        <f>IF(ISNUMBER(INDEX(Database!$W$6:$W$197, MATCH($B61&amp;"USD bn", Database!$AD$6:$AD$197, 0))), INDEX(Database!$W$6:$W$197, MATCH($B61&amp;"USD bn", Database!$AD$6:$AD$197, 0)), "")</f>
        <v/>
      </c>
      <c r="O61" s="587">
        <f>IF(ISNUMBER(INDEX(Database!$G$6:$G$197, MATCH($B61&amp;"% GDP", Database!$AD$6:$AD$197, 0))), INDEX(Database!$G$6:$G$197, MATCH($B61&amp;"% GDP", Database!$AD$6:$AD$197, 0)), "")</f>
        <v>2.7063675838678867</v>
      </c>
      <c r="P61" s="564">
        <f>IF(ISNUMBER(INDEX(Database!$H$6:$H$197, MATCH($B61&amp;"% GDP", Database!$AD$6:$AD$197, 0))), INDEX(Database!$H$6:$H$197, MATCH($B61&amp;"% GDP", Database!$AD$6:$AD$197, 0)), "")</f>
        <v>0.35812904376141214</v>
      </c>
      <c r="Q61" s="564">
        <f>IF(ISNUMBER(INDEX(Database!$J$6:$J$197, MATCH($B61&amp;"% GDP", Database!$AD$6:$AD$197, 0))), INDEX(Database!$J$6:$J$197, MATCH($B61&amp;"% GDP", Database!$AD$6:$AD$197, 0)), "")</f>
        <v>2.3482385401064745</v>
      </c>
      <c r="R61" s="564">
        <f>IF(ISNUMBER(INDEX(Database!$L$6:$L$197, MATCH($B61&amp;"% GDP", Database!$AD$6:$AD$197, 0))), INDEX(Database!$L$6:$L$197, MATCH($B61&amp;"% GDP", Database!$AD$6:$AD$197, 0)), "")</f>
        <v>0.27199674209727503</v>
      </c>
      <c r="S61" s="564"/>
      <c r="T61" s="587">
        <f>IF(ISNUMBER(INDEX(Database!$P$6:$P$197, MATCH($B61&amp;"% GDP", Database!$AD$6:$AD$197, 0))), INDEX(Database!$P$6:$P$197, MATCH($B61&amp;"% GDP", Database!$AD$6:$AD$197, 0)), "")</f>
        <v>0.81599022629182516</v>
      </c>
      <c r="U61" s="564">
        <f>IF(ISNUMBER(INDEX(Database!$Q$6:$Q$197, MATCH($B61&amp;"% GDP", Database!$AD$6:$AD$197, 0))), INDEX(Database!$Q$6:$Q$197, MATCH($B61&amp;"% GDP", Database!$AD$6:$AD$197, 0)), "")</f>
        <v>0.63465906489364177</v>
      </c>
      <c r="V61" s="564"/>
      <c r="W61" s="564">
        <f>IF(ISNUMBER(INDEX(Database!$U$6:$U$197, MATCH($B61&amp;"% GDP", Database!$AD$6:$AD$197, 0))), INDEX(Database!$U$6:$U$197, MATCH($B61&amp;"% GDP", Database!$AD$6:$AD$197, 0)), "")</f>
        <v>0.18133116139818339</v>
      </c>
      <c r="X61" s="564" t="str">
        <f>IF(ISNUMBER(INDEX(Database!$W$6:$W$197, MATCH($B61&amp;"% GDP", Database!$AD$6:$AD$197, 0))), INDEX(Database!$W$6:$W$197, MATCH($B61&amp;"% GDP", Database!$AD$6:$AD$197, 0)), "")</f>
        <v/>
      </c>
    </row>
    <row r="62" spans="2:24">
      <c r="B62" s="562" t="s">
        <v>56</v>
      </c>
      <c r="C62" s="588">
        <f>IF(ISNUMBER(INDEX(Database!$G$6:$G$197, MATCH($B62&amp;"USD bn", Database!$AD$6:$AD$197, 0))), INDEX(Database!$G$6:$G$197, MATCH($B62&amp;"USD bn", Database!$AD$6:$AD$197, 0)), "")</f>
        <v>8.7134104833219883</v>
      </c>
      <c r="D62" s="567" t="str">
        <f>IF(ISNUMBER(INDEX(Database!$H$6:$H$197, MATCH($B62&amp;"USD bn", Database!$AD$6:$AD$197, 0))), INDEX(Database!$H$6:$H$197, MATCH($B62&amp;"USD bn", Database!$AD$6:$AD$197, 0)), "")</f>
        <v/>
      </c>
      <c r="E62" s="567" t="str">
        <f>IF(ISNUMBER(INDEX(Database!$J$6:$J$197, MATCH($B62&amp;"USD bn", Database!$AD$6:$AD$197, 0))), INDEX(Database!$J$6:$J$197, MATCH($B62&amp;"USD bn", Database!$AD$6:$AD$197, 0)), "")</f>
        <v/>
      </c>
      <c r="F62" s="567" t="str">
        <f>IF(ISNUMBER(INDEX(Database!$L$6:$L$197, MATCH($B62&amp;"USD bn", Database!$AD$6:$AD$197, 0))), INDEX(Database!$L$6:$L$197, MATCH($B62&amp;"USD bn", Database!$AD$6:$AD$197, 0)), "")</f>
        <v/>
      </c>
      <c r="G62" s="567"/>
      <c r="H62" s="588" t="str">
        <f>IF(ISNUMBER(INDEX(Database!$P$6:$P$197, MATCH($B62&amp;"USD bn", Database!$AD$6:$AD$197, 0))), INDEX(Database!$P$6:$P$197, MATCH($B62&amp;"USD bn", Database!$AD$6:$AD$197, 0)), "")</f>
        <v/>
      </c>
      <c r="I62" s="567" t="str">
        <f>IF(ISNUMBER(INDEX(Database!$Q$6:$Q$197, MATCH($B62&amp;"USD bn", Database!$AD$6:$AD$197, 0))), INDEX(Database!$Q$6:$Q$197, MATCH($B62&amp;"USD bn", Database!$AD$6:$AD$197, 0)), "")</f>
        <v/>
      </c>
      <c r="J62" s="567"/>
      <c r="K62" s="567" t="str">
        <f>IF(ISNUMBER(INDEX(Database!$U$6:$U$197, MATCH($B62&amp;"USD bn", Database!$AD$6:$AD$197, 0))), INDEX(Database!$U$6:$U$197, MATCH($B62&amp;"USD bn", Database!$AD$6:$AD$197, 0)), "")</f>
        <v/>
      </c>
      <c r="L62" s="567" t="str">
        <f>IF(ISNUMBER(INDEX(Database!$W$6:$W$197, MATCH($B62&amp;"USD bn", Database!$AD$6:$AD$197, 0))), INDEX(Database!$W$6:$W$197, MATCH($B62&amp;"USD bn", Database!$AD$6:$AD$197, 0)), "")</f>
        <v/>
      </c>
      <c r="O62" s="587">
        <f>IF(ISNUMBER(INDEX(Database!$G$6:$G$197, MATCH($B62&amp;"% GDP", Database!$AD$6:$AD$197, 0))), INDEX(Database!$G$6:$G$197, MATCH($B62&amp;"% GDP", Database!$AD$6:$AD$197, 0)), "")</f>
        <v>2.4280205714042915</v>
      </c>
      <c r="P62" s="564" t="str">
        <f>IF(ISNUMBER(INDEX(Database!$H$6:$H$197, MATCH($B62&amp;"% GDP", Database!$AD$6:$AD$197, 0))), INDEX(Database!$H$6:$H$197, MATCH($B62&amp;"% GDP", Database!$AD$6:$AD$197, 0)), "")</f>
        <v/>
      </c>
      <c r="Q62" s="564" t="str">
        <f>IF(ISNUMBER(INDEX(Database!$J$6:$J$197, MATCH($B62&amp;"% GDP", Database!$AD$6:$AD$197, 0))), INDEX(Database!$J$6:$J$197, MATCH($B62&amp;"% GDP", Database!$AD$6:$AD$197, 0)), "")</f>
        <v/>
      </c>
      <c r="R62" s="564" t="str">
        <f>IF(ISNUMBER(INDEX(Database!$L$6:$L$197, MATCH($B62&amp;"% GDP", Database!$AD$6:$AD$197, 0))), INDEX(Database!$L$6:$L$197, MATCH($B62&amp;"% GDP", Database!$AD$6:$AD$197, 0)), "")</f>
        <v/>
      </c>
      <c r="S62" s="564"/>
      <c r="T62" s="587" t="str">
        <f>IF(ISNUMBER(INDEX(Database!$P$6:$P$197, MATCH($B62&amp;"% GDP", Database!$AD$6:$AD$197, 0))), INDEX(Database!$P$6:$P$197, MATCH($B62&amp;"% GDP", Database!$AD$6:$AD$197, 0)), "")</f>
        <v/>
      </c>
      <c r="U62" s="564" t="str">
        <f>IF(ISNUMBER(INDEX(Database!$Q$6:$Q$197, MATCH($B62&amp;"% GDP", Database!$AD$6:$AD$197, 0))), INDEX(Database!$Q$6:$Q$197, MATCH($B62&amp;"% GDP", Database!$AD$6:$AD$197, 0)), "")</f>
        <v/>
      </c>
      <c r="V62" s="564"/>
      <c r="W62" s="564" t="str">
        <f>IF(ISNUMBER(INDEX(Database!$U$6:$U$197, MATCH($B62&amp;"% GDP", Database!$AD$6:$AD$197, 0))), INDEX(Database!$U$6:$U$197, MATCH($B62&amp;"% GDP", Database!$AD$6:$AD$197, 0)), "")</f>
        <v/>
      </c>
      <c r="X62" s="564" t="str">
        <f>IF(ISNUMBER(INDEX(Database!$W$6:$W$197, MATCH($B62&amp;"% GDP", Database!$AD$6:$AD$197, 0))), INDEX(Database!$W$6:$W$197, MATCH($B62&amp;"% GDP", Database!$AD$6:$AD$197, 0)), "")</f>
        <v/>
      </c>
    </row>
    <row r="63" spans="2:24">
      <c r="B63" s="565" t="s">
        <v>871</v>
      </c>
      <c r="C63" s="588"/>
      <c r="D63" s="568"/>
      <c r="E63" s="568" t="str">
        <f>IF(ISNUMBER(INDEX(Database!$J$6:$J$197, MATCH($B63&amp;"USD bn", Database!$AD$6:$AD$197, 0))), INDEX(Database!$J$6:$J$197, MATCH($B63&amp;"USD bn", Database!$AD$6:$AD$197, 0)), "")</f>
        <v/>
      </c>
      <c r="F63" s="568" t="str">
        <f>IF(ISNUMBER(INDEX(Database!$L$6:$L$197, MATCH($B63&amp;"USD bn", Database!$AD$6:$AD$197, 0))), INDEX(Database!$L$6:$L$197, MATCH($B63&amp;"USD bn", Database!$AD$6:$AD$197, 0)), "")</f>
        <v/>
      </c>
      <c r="G63" s="568"/>
      <c r="H63" s="586" t="str">
        <f>IF(ISNUMBER(INDEX(Database!$P$6:$P$197, MATCH($B63&amp;"USD bn", Database!$AD$6:$AD$197, 0))), INDEX(Database!$P$6:$P$197, MATCH($B63&amp;"USD bn", Database!$AD$6:$AD$197, 0)), "")</f>
        <v/>
      </c>
      <c r="I63" s="567" t="str">
        <f>IF(ISNUMBER(INDEX(Database!$Q$6:$Q$197, MATCH($B63&amp;"USD bn", Database!$AD$6:$AD$197, 0))), INDEX(Database!$Q$6:$Q$197, MATCH($B63&amp;"USD bn", Database!$AD$6:$AD$197, 0)), "")</f>
        <v/>
      </c>
      <c r="J63" s="567"/>
      <c r="K63" s="567" t="str">
        <f>IF(ISNUMBER(INDEX(Database!$U$6:$U$197, MATCH($B63&amp;"USD bn", Database!$AD$6:$AD$197, 0))), INDEX(Database!$U$6:$U$197, MATCH($B63&amp;"USD bn", Database!$AD$6:$AD$197, 0)), "")</f>
        <v/>
      </c>
      <c r="L63" s="567" t="str">
        <f>IF(ISNUMBER(INDEX(Database!$W$6:$W$197, MATCH($B63&amp;"USD bn", Database!$AD$6:$AD$197, 0))), INDEX(Database!$W$6:$W$197, MATCH($B63&amp;"USD bn", Database!$AD$6:$AD$197, 0)), "")</f>
        <v/>
      </c>
      <c r="O63" s="587" t="str">
        <f>IF(ISNUMBER(INDEX(Database!$G$6:$G$197, MATCH($B63&amp;"% GDP", Database!$AD$6:$AD$197, 0))), INDEX(Database!$G$6:$G$197, MATCH($B63&amp;"% GDP", Database!$AD$6:$AD$197, 0)), "")</f>
        <v/>
      </c>
      <c r="P63" s="564" t="str">
        <f>IF(ISNUMBER(INDEX(Database!$H$6:$H$197, MATCH($B63&amp;"% GDP", Database!$AD$6:$AD$197, 0))), INDEX(Database!$H$6:$H$197, MATCH($B63&amp;"% GDP", Database!$AD$6:$AD$197, 0)), "")</f>
        <v/>
      </c>
      <c r="Q63" s="564" t="str">
        <f>IF(ISNUMBER(INDEX(Database!$J$6:$J$197, MATCH($B63&amp;"% GDP", Database!$AD$6:$AD$197, 0))), INDEX(Database!$J$6:$J$197, MATCH($B63&amp;"% GDP", Database!$AD$6:$AD$197, 0)), "")</f>
        <v/>
      </c>
      <c r="R63" s="564" t="str">
        <f>IF(ISNUMBER(INDEX(Database!$L$6:$L$197, MATCH($B63&amp;"% GDP", Database!$AD$6:$AD$197, 0))), INDEX(Database!$L$6:$L$197, MATCH($B63&amp;"% GDP", Database!$AD$6:$AD$197, 0)), "")</f>
        <v/>
      </c>
      <c r="S63" s="564"/>
      <c r="T63" s="587" t="str">
        <f>IF(ISNUMBER(INDEX(Database!$P$6:$P$197, MATCH($B63&amp;"% GDP", Database!$AD$6:$AD$197, 0))), INDEX(Database!$P$6:$P$197, MATCH($B63&amp;"% GDP", Database!$AD$6:$AD$197, 0)), "")</f>
        <v/>
      </c>
      <c r="U63" s="564" t="str">
        <f>IF(ISNUMBER(INDEX(Database!$Q$6:$Q$197, MATCH($B63&amp;"% GDP", Database!$AD$6:$AD$197, 0))), INDEX(Database!$Q$6:$Q$197, MATCH($B63&amp;"% GDP", Database!$AD$6:$AD$197, 0)), "")</f>
        <v/>
      </c>
      <c r="V63" s="564"/>
      <c r="W63" s="564" t="str">
        <f>IF(ISNUMBER(INDEX(Database!$U$6:$U$197, MATCH($B63&amp;"% GDP", Database!$AD$6:$AD$197, 0))), INDEX(Database!$U$6:$U$197, MATCH($B63&amp;"% GDP", Database!$AD$6:$AD$197, 0)), "")</f>
        <v/>
      </c>
      <c r="X63" s="564" t="str">
        <f>IF(ISNUMBER(INDEX(Database!$W$6:$W$197, MATCH($B63&amp;"% GDP", Database!$AD$6:$AD$197, 0))), INDEX(Database!$W$6:$W$197, MATCH($B63&amp;"% GDP", Database!$AD$6:$AD$197, 0)), "")</f>
        <v/>
      </c>
    </row>
    <row r="64" spans="2:24">
      <c r="B64" s="562" t="s">
        <v>37</v>
      </c>
      <c r="C64" s="588">
        <f>IF(ISNUMBER(INDEX(Database!$G$6:$G$197, MATCH($B64&amp;"USD bn", Database!$AD$6:$AD$197, 0))), INDEX(Database!$G$6:$G$197, MATCH($B64&amp;"USD bn", Database!$AD$6:$AD$197, 0)), "")</f>
        <v>7.4404955534436894</v>
      </c>
      <c r="D64" s="567">
        <f>IF(ISNUMBER(INDEX(Database!$H$6:$H$197, MATCH($B64&amp;"USD bn", Database!$AD$6:$AD$197, 0))), INDEX(Database!$H$6:$H$197, MATCH($B64&amp;"USD bn", Database!$AD$6:$AD$197, 0)), "")</f>
        <v>2.9836987447040832</v>
      </c>
      <c r="E64" s="567">
        <f>IF(ISNUMBER(INDEX(Database!$J$6:$J$197, MATCH($B64&amp;"USD bn", Database!$AD$6:$AD$197, 0))), INDEX(Database!$J$6:$J$197, MATCH($B64&amp;"USD bn", Database!$AD$6:$AD$197, 0)), "")</f>
        <v>4.4567968087396057</v>
      </c>
      <c r="F64" s="567" t="str">
        <f>IF(ISNUMBER(INDEX(Database!$L$6:$L$197, MATCH($B64&amp;"USD bn", Database!$AD$6:$AD$197, 0))), INDEX(Database!$L$6:$L$197, MATCH($B64&amp;"USD bn", Database!$AD$6:$AD$197, 0)), "")</f>
        <v/>
      </c>
      <c r="G64" s="567"/>
      <c r="H64" s="588">
        <f>IF(ISNUMBER(INDEX(Database!$P$6:$P$197, MATCH($B64&amp;"USD bn", Database!$AD$6:$AD$197, 0))), INDEX(Database!$P$6:$P$197, MATCH($B64&amp;"USD bn", Database!$AD$6:$AD$197, 0)), "")</f>
        <v>0.23586551341534254</v>
      </c>
      <c r="I64" s="567" t="str">
        <f>IF(ISNUMBER(INDEX(Database!$Q$6:$Q$197, MATCH($B64&amp;"USD bn", Database!$AD$6:$AD$197, 0))), INDEX(Database!$Q$6:$Q$197, MATCH($B64&amp;"USD bn", Database!$AD$6:$AD$197, 0)), "")</f>
        <v/>
      </c>
      <c r="J64" s="567"/>
      <c r="K64" s="567">
        <f>IF(ISNUMBER(INDEX(Database!$U$6:$U$197, MATCH($B64&amp;"USD bn", Database!$AD$6:$AD$197, 0))), INDEX(Database!$U$6:$U$197, MATCH($B64&amp;"USD bn", Database!$AD$6:$AD$197, 0)), "")</f>
        <v>0.23586551341534254</v>
      </c>
      <c r="L64" s="567" t="str">
        <f>IF(ISNUMBER(INDEX(Database!$W$6:$W$197, MATCH($B64&amp;"USD bn", Database!$AD$6:$AD$197, 0))), INDEX(Database!$W$6:$W$197, MATCH($B64&amp;"USD bn", Database!$AD$6:$AD$197, 0)), "")</f>
        <v/>
      </c>
      <c r="O64" s="587">
        <f>IF(ISNUMBER(INDEX(Database!$G$6:$G$197, MATCH($B64&amp;"% GDP", Database!$AD$6:$AD$197, 0))), INDEX(Database!$G$6:$G$197, MATCH($B64&amp;"% GDP", Database!$AD$6:$AD$197, 0)), "")</f>
        <v>2.3031524031183657</v>
      </c>
      <c r="P64" s="564">
        <f>IF(ISNUMBER(INDEX(Database!$H$6:$H$197, MATCH($B64&amp;"% GDP", Database!$AD$6:$AD$197, 0))), INDEX(Database!$H$6:$H$197, MATCH($B64&amp;"% GDP", Database!$AD$6:$AD$197, 0)), "")</f>
        <v>0.92358269482009558</v>
      </c>
      <c r="Q64" s="564">
        <f>IF(ISNUMBER(INDEX(Database!$J$6:$J$197, MATCH($B64&amp;"% GDP", Database!$AD$6:$AD$197, 0))), INDEX(Database!$J$6:$J$197, MATCH($B64&amp;"% GDP", Database!$AD$6:$AD$197, 0)), "")</f>
        <v>1.3795697082982701</v>
      </c>
      <c r="R64" s="564" t="str">
        <f>IF(ISNUMBER(INDEX(Database!$L$6:$L$197, MATCH($B64&amp;"% GDP", Database!$AD$6:$AD$197, 0))), INDEX(Database!$L$6:$L$197, MATCH($B64&amp;"% GDP", Database!$AD$6:$AD$197, 0)), "")</f>
        <v/>
      </c>
      <c r="S64" s="564"/>
      <c r="T64" s="587">
        <f>IF(ISNUMBER(INDEX(Database!$P$6:$P$197, MATCH($B64&amp;"% GDP", Database!$AD$6:$AD$197, 0))), INDEX(Database!$P$6:$P$197, MATCH($B64&amp;"% GDP", Database!$AD$6:$AD$197, 0)), "")</f>
        <v>7.3010489709098458E-2</v>
      </c>
      <c r="U64" s="564" t="str">
        <f>IF(ISNUMBER(INDEX(Database!$Q$6:$Q$197, MATCH($B64&amp;"% GDP", Database!$AD$6:$AD$197, 0))), INDEX(Database!$Q$6:$Q$197, MATCH($B64&amp;"% GDP", Database!$AD$6:$AD$197, 0)), "")</f>
        <v/>
      </c>
      <c r="V64" s="564"/>
      <c r="W64" s="564">
        <f>IF(ISNUMBER(INDEX(Database!$U$6:$U$197, MATCH($B64&amp;"% GDP", Database!$AD$6:$AD$197, 0))), INDEX(Database!$U$6:$U$197, MATCH($B64&amp;"% GDP", Database!$AD$6:$AD$197, 0)), "")</f>
        <v>7.3010489709098458E-2</v>
      </c>
      <c r="X64" s="564" t="str">
        <f>IF(ISNUMBER(INDEX(Database!$W$6:$W$197, MATCH($B64&amp;"% GDP", Database!$AD$6:$AD$197, 0))), INDEX(Database!$W$6:$W$197, MATCH($B64&amp;"% GDP", Database!$AD$6:$AD$197, 0)), "")</f>
        <v/>
      </c>
    </row>
    <row r="65" spans="2:24">
      <c r="B65" s="562" t="s">
        <v>548</v>
      </c>
      <c r="C65" s="588">
        <f>IF(ISNUMBER(INDEX(Database!$G$6:$G$197, MATCH($B65&amp;"USD bn", Database!$AD$6:$AD$197, 0))), INDEX(Database!$G$6:$G$197, MATCH($B65&amp;"USD bn", Database!$AD$6:$AD$197, 0)), "")</f>
        <v>2.4164497040512201</v>
      </c>
      <c r="D65" s="567">
        <f>IF(ISNUMBER(INDEX(Database!$H$6:$H$197, MATCH($B65&amp;"USD bn", Database!$AD$6:$AD$197, 0))), INDEX(Database!$H$6:$H$197, MATCH($B65&amp;"USD bn", Database!$AD$6:$AD$197, 0)), "")</f>
        <v>0.60983861014562779</v>
      </c>
      <c r="E65" s="567">
        <f>IF(ISNUMBER(INDEX(Database!$J$6:$J$197, MATCH($B65&amp;"USD bn", Database!$AD$6:$AD$197, 0))), INDEX(Database!$J$6:$J$197, MATCH($B65&amp;"USD bn", Database!$AD$6:$AD$197, 0)), "")</f>
        <v>1.8066110939055922</v>
      </c>
      <c r="F65" s="567" t="str">
        <f>IF(ISNUMBER(INDEX(Database!$L$6:$L$197, MATCH($B65&amp;"USD bn", Database!$AD$6:$AD$197, 0))), INDEX(Database!$L$6:$L$197, MATCH($B65&amp;"USD bn", Database!$AD$6:$AD$197, 0)), "")</f>
        <v/>
      </c>
      <c r="G65" s="567"/>
      <c r="H65" s="588">
        <f>IF(ISNUMBER(INDEX(Database!$P$6:$P$197, MATCH($B65&amp;"USD bn", Database!$AD$6:$AD$197, 0))), INDEX(Database!$P$6:$P$197, MATCH($B65&amp;"USD bn", Database!$AD$6:$AD$197, 0)), "")</f>
        <v>0.60124933394639357</v>
      </c>
      <c r="I65" s="567">
        <f>IF(ISNUMBER(INDEX(Database!$Q$6:$Q$197, MATCH($B65&amp;"USD bn", Database!$AD$6:$AD$197, 0))), INDEX(Database!$Q$6:$Q$197, MATCH($B65&amp;"USD bn", Database!$AD$6:$AD$197, 0)), "")</f>
        <v>0.60124933394639357</v>
      </c>
      <c r="J65" s="567"/>
      <c r="K65" s="567" t="str">
        <f>IF(ISNUMBER(INDEX(Database!$U$6:$U$197, MATCH($B65&amp;"USD bn", Database!$AD$6:$AD$197, 0))), INDEX(Database!$U$6:$U$197, MATCH($B65&amp;"USD bn", Database!$AD$6:$AD$197, 0)), "")</f>
        <v/>
      </c>
      <c r="L65" s="567" t="str">
        <f>IF(ISNUMBER(INDEX(Database!$W$6:$W$197, MATCH($B65&amp;"USD bn", Database!$AD$6:$AD$197, 0))), INDEX(Database!$W$6:$W$197, MATCH($B65&amp;"USD bn", Database!$AD$6:$AD$197, 0)), "")</f>
        <v/>
      </c>
      <c r="O65" s="587">
        <f>IF(ISNUMBER(INDEX(Database!$G$6:$G$197, MATCH($B65&amp;"% GDP", Database!$AD$6:$AD$197, 0))), INDEX(Database!$G$6:$G$197, MATCH($B65&amp;"% GDP", Database!$AD$6:$AD$197, 0)), "")</f>
        <v>2.5012230728926022</v>
      </c>
      <c r="P65" s="564">
        <f>IF(ISNUMBER(INDEX(Database!$H$6:$H$197, MATCH($B65&amp;"% GDP", Database!$AD$6:$AD$197, 0))), INDEX(Database!$H$6:$H$197, MATCH($B65&amp;"% GDP", Database!$AD$6:$AD$197, 0)), "")</f>
        <v>0.63123283711626088</v>
      </c>
      <c r="Q65" s="564">
        <f>IF(ISNUMBER(INDEX(Database!$J$6:$J$197, MATCH($B65&amp;"% GDP", Database!$AD$6:$AD$197, 0))), INDEX(Database!$J$6:$J$197, MATCH($B65&amp;"% GDP", Database!$AD$6:$AD$197, 0)), "")</f>
        <v>1.8699902357763409</v>
      </c>
      <c r="R65" s="564" t="str">
        <f>IF(ISNUMBER(INDEX(Database!$L$6:$L$197, MATCH($B65&amp;"% GDP", Database!$AD$6:$AD$197, 0))), INDEX(Database!$L$6:$L$197, MATCH($B65&amp;"% GDP", Database!$AD$6:$AD$197, 0)), "")</f>
        <v/>
      </c>
      <c r="S65" s="564"/>
      <c r="T65" s="587">
        <f>IF(ISNUMBER(INDEX(Database!$P$6:$P$197, MATCH($B65&amp;"% GDP", Database!$AD$6:$AD$197, 0))), INDEX(Database!$P$6:$P$197, MATCH($B65&amp;"% GDP", Database!$AD$6:$AD$197, 0)), "")</f>
        <v>0.62234223377659526</v>
      </c>
      <c r="U65" s="564">
        <f>IF(ISNUMBER(INDEX(Database!$Q$6:$Q$197, MATCH($B65&amp;"% GDP", Database!$AD$6:$AD$197, 0))), INDEX(Database!$Q$6:$Q$197, MATCH($B65&amp;"% GDP", Database!$AD$6:$AD$197, 0)), "")</f>
        <v>0.62234223377659526</v>
      </c>
      <c r="V65" s="564"/>
      <c r="W65" s="564" t="str">
        <f>IF(ISNUMBER(INDEX(Database!$U$6:$U$197, MATCH($B65&amp;"% GDP", Database!$AD$6:$AD$197, 0))), INDEX(Database!$U$6:$U$197, MATCH($B65&amp;"% GDP", Database!$AD$6:$AD$197, 0)), "")</f>
        <v/>
      </c>
      <c r="X65" s="564" t="str">
        <f>IF(ISNUMBER(INDEX(Database!$W$6:$W$197, MATCH($B65&amp;"% GDP", Database!$AD$6:$AD$197, 0))), INDEX(Database!$W$6:$W$197, MATCH($B65&amp;"% GDP", Database!$AD$6:$AD$197, 0)), "")</f>
        <v/>
      </c>
    </row>
    <row r="66" spans="2:24">
      <c r="B66" s="562" t="s">
        <v>550</v>
      </c>
      <c r="C66" s="588">
        <f>IF(ISNUMBER(INDEX(Database!$G$6:$G$197, MATCH($B66&amp;"USD bn", Database!$AD$6:$AD$197, 0))), INDEX(Database!$G$6:$G$197, MATCH($B66&amp;"USD bn", Database!$AD$6:$AD$197, 0)), "")</f>
        <v>2.2327431550550991</v>
      </c>
      <c r="D66" s="567">
        <f>IF(ISNUMBER(INDEX(Database!$H$6:$H$197, MATCH($B66&amp;"USD bn", Database!$AD$6:$AD$197, 0))), INDEX(Database!$H$6:$H$197, MATCH($B66&amp;"USD bn", Database!$AD$6:$AD$197, 0)), "")</f>
        <v>0.75020170009851339</v>
      </c>
      <c r="E66" s="567">
        <f>IF(ISNUMBER(INDEX(Database!$J$6:$J$197, MATCH($B66&amp;"USD bn", Database!$AD$6:$AD$197, 0))), INDEX(Database!$J$6:$J$197, MATCH($B66&amp;"USD bn", Database!$AD$6:$AD$197, 0)), "")</f>
        <v>1.4825414549565861</v>
      </c>
      <c r="F66" s="567" t="str">
        <f>IF(ISNUMBER(INDEX(Database!$L$6:$L$197, MATCH($B66&amp;"USD bn", Database!$AD$6:$AD$197, 0))), INDEX(Database!$L$6:$L$197, MATCH($B66&amp;"USD bn", Database!$AD$6:$AD$197, 0)), "")</f>
        <v/>
      </c>
      <c r="G66" s="567"/>
      <c r="H66" s="588">
        <f>IF(ISNUMBER(INDEX(Database!$P$6:$P$197, MATCH($B66&amp;"USD bn", Database!$AD$6:$AD$197, 0))), INDEX(Database!$P$6:$P$197, MATCH($B66&amp;"USD bn", Database!$AD$6:$AD$197, 0)), "")</f>
        <v>0.21434334288528953</v>
      </c>
      <c r="I66" s="567">
        <f>IF(ISNUMBER(INDEX(Database!$Q$6:$Q$197, MATCH($B66&amp;"USD bn", Database!$AD$6:$AD$197, 0))), INDEX(Database!$Q$6:$Q$197, MATCH($B66&amp;"USD bn", Database!$AD$6:$AD$197, 0)), "")</f>
        <v>0.21434334288528953</v>
      </c>
      <c r="J66" s="567"/>
      <c r="K66" s="567" t="str">
        <f>IF(ISNUMBER(INDEX(Database!$U$6:$U$197, MATCH($B66&amp;"USD bn", Database!$AD$6:$AD$197, 0))), INDEX(Database!$U$6:$U$197, MATCH($B66&amp;"USD bn", Database!$AD$6:$AD$197, 0)), "")</f>
        <v/>
      </c>
      <c r="L66" s="567" t="str">
        <f>IF(ISNUMBER(INDEX(Database!$W$6:$W$197, MATCH($B66&amp;"USD bn", Database!$AD$6:$AD$197, 0))), INDEX(Database!$W$6:$W$197, MATCH($B66&amp;"USD bn", Database!$AD$6:$AD$197, 0)), "")</f>
        <v/>
      </c>
      <c r="O66" s="587">
        <f>IF(ISNUMBER(INDEX(Database!$G$6:$G$197, MATCH($B66&amp;"% GDP", Database!$AD$6:$AD$197, 0))), INDEX(Database!$G$6:$G$197, MATCH($B66&amp;"% GDP", Database!$AD$6:$AD$197, 0)), "")</f>
        <v>3.2595714054750369</v>
      </c>
      <c r="P66" s="564">
        <f>IF(ISNUMBER(INDEX(Database!$H$6:$H$197, MATCH($B66&amp;"% GDP", Database!$AD$6:$AD$197, 0))), INDEX(Database!$H$6:$H$197, MATCH($B66&amp;"% GDP", Database!$AD$6:$AD$197, 0)), "")</f>
        <v>1.0952159922396125</v>
      </c>
      <c r="Q66" s="564">
        <f>IF(ISNUMBER(INDEX(Database!$J$6:$J$197, MATCH($B66&amp;"% GDP", Database!$AD$6:$AD$197, 0))), INDEX(Database!$J$6:$J$197, MATCH($B66&amp;"% GDP", Database!$AD$6:$AD$197, 0)), "")</f>
        <v>2.164355413235425</v>
      </c>
      <c r="R66" s="564" t="str">
        <f>IF(ISNUMBER(INDEX(Database!$L$6:$L$197, MATCH($B66&amp;"% GDP", Database!$AD$6:$AD$197, 0))), INDEX(Database!$L$6:$L$197, MATCH($B66&amp;"% GDP", Database!$AD$6:$AD$197, 0)), "")</f>
        <v/>
      </c>
      <c r="S66" s="564"/>
      <c r="T66" s="587">
        <f>IF(ISNUMBER(INDEX(Database!$P$6:$P$197, MATCH($B66&amp;"% GDP", Database!$AD$6:$AD$197, 0))), INDEX(Database!$P$6:$P$197, MATCH($B66&amp;"% GDP", Database!$AD$6:$AD$197, 0)), "")</f>
        <v>0.31291885492560356</v>
      </c>
      <c r="U66" s="564">
        <f>IF(ISNUMBER(INDEX(Database!$Q$6:$Q$197, MATCH($B66&amp;"% GDP", Database!$AD$6:$AD$197, 0))), INDEX(Database!$Q$6:$Q$197, MATCH($B66&amp;"% GDP", Database!$AD$6:$AD$197, 0)), "")</f>
        <v>0.31291885492560356</v>
      </c>
      <c r="V66" s="564"/>
      <c r="W66" s="564" t="str">
        <f>IF(ISNUMBER(INDEX(Database!$U$6:$U$197, MATCH($B66&amp;"% GDP", Database!$AD$6:$AD$197, 0))), INDEX(Database!$U$6:$U$197, MATCH($B66&amp;"% GDP", Database!$AD$6:$AD$197, 0)), "")</f>
        <v/>
      </c>
      <c r="X66" s="564" t="str">
        <f>IF(ISNUMBER(INDEX(Database!$W$6:$W$197, MATCH($B66&amp;"% GDP", Database!$AD$6:$AD$197, 0))), INDEX(Database!$W$6:$W$197, MATCH($B66&amp;"% GDP", Database!$AD$6:$AD$197, 0)), "")</f>
        <v/>
      </c>
    </row>
    <row r="67" spans="2:24">
      <c r="B67" s="562" t="s">
        <v>566</v>
      </c>
      <c r="C67" s="588">
        <f>IF(ISNUMBER(INDEX(Database!$G$6:$G$197, MATCH($B67&amp;"USD bn", Database!$AD$6:$AD$197, 0))), INDEX(Database!$G$6:$G$197, MATCH($B67&amp;"USD bn", Database!$AD$6:$AD$197, 0)), "")</f>
        <v>9.6093184602259421E-2</v>
      </c>
      <c r="D67" s="567">
        <f>IF(ISNUMBER(INDEX(Database!$H$6:$H$197, MATCH($B67&amp;"USD bn", Database!$AD$6:$AD$197, 0))), INDEX(Database!$H$6:$H$197, MATCH($B67&amp;"USD bn", Database!$AD$6:$AD$197, 0)), "")</f>
        <v>8.4557826754839902E-2</v>
      </c>
      <c r="E67" s="567">
        <f>IF(ISNUMBER(INDEX(Database!$J$6:$J$197, MATCH($B67&amp;"USD bn", Database!$AD$6:$AD$197, 0))), INDEX(Database!$J$6:$J$197, MATCH($B67&amp;"USD bn", Database!$AD$6:$AD$197, 0)), "")</f>
        <v>1.1535357847419518E-2</v>
      </c>
      <c r="F67" s="567" t="str">
        <f>IF(ISNUMBER(INDEX(Database!$L$6:$L$197, MATCH($B67&amp;"USD bn", Database!$AD$6:$AD$197, 0))), INDEX(Database!$L$6:$L$197, MATCH($B67&amp;"USD bn", Database!$AD$6:$AD$197, 0)), "")</f>
        <v/>
      </c>
      <c r="G67" s="567"/>
      <c r="H67" s="588">
        <f>IF(ISNUMBER(INDEX(Database!$P$6:$P$197, MATCH($B67&amp;"USD bn", Database!$AD$6:$AD$197, 0))), INDEX(Database!$P$6:$P$197, MATCH($B67&amp;"USD bn", Database!$AD$6:$AD$197, 0)), "")</f>
        <v>2.609809467741972E-2</v>
      </c>
      <c r="I67" s="567">
        <f>IF(ISNUMBER(INDEX(Database!$Q$6:$Q$197, MATCH($B67&amp;"USD bn", Database!$AD$6:$AD$197, 0))), INDEX(Database!$Q$6:$Q$197, MATCH($B67&amp;"USD bn", Database!$AD$6:$AD$197, 0)), "")</f>
        <v>2.609809467741972E-2</v>
      </c>
      <c r="J67" s="567"/>
      <c r="K67" s="567" t="str">
        <f>IF(ISNUMBER(INDEX(Database!$U$6:$U$197, MATCH($B67&amp;"USD bn", Database!$AD$6:$AD$197, 0))), INDEX(Database!$U$6:$U$197, MATCH($B67&amp;"USD bn", Database!$AD$6:$AD$197, 0)), "")</f>
        <v/>
      </c>
      <c r="L67" s="567" t="str">
        <f>IF(ISNUMBER(INDEX(Database!$W$6:$W$197, MATCH($B67&amp;"USD bn", Database!$AD$6:$AD$197, 0))), INDEX(Database!$W$6:$W$197, MATCH($B67&amp;"USD bn", Database!$AD$6:$AD$197, 0)), "")</f>
        <v/>
      </c>
      <c r="O67" s="587">
        <f>IF(ISNUMBER(INDEX(Database!$G$6:$G$197, MATCH($B67&amp;"% GDP", Database!$AD$6:$AD$197, 0))), INDEX(Database!$G$6:$G$197, MATCH($B67&amp;"% GDP", Database!$AD$6:$AD$197, 0)), "")</f>
        <v>6.702226729381966</v>
      </c>
      <c r="P67" s="564">
        <f>IF(ISNUMBER(INDEX(Database!$H$6:$H$197, MATCH($B67&amp;"% GDP", Database!$AD$6:$AD$197, 0))), INDEX(Database!$H$6:$H$197, MATCH($B67&amp;"% GDP", Database!$AD$6:$AD$197, 0)), "")</f>
        <v>5.8976682789781556</v>
      </c>
      <c r="Q67" s="564">
        <f>IF(ISNUMBER(INDEX(Database!$J$6:$J$197, MATCH($B67&amp;"% GDP", Database!$AD$6:$AD$197, 0))), INDEX(Database!$J$6:$J$197, MATCH($B67&amp;"% GDP", Database!$AD$6:$AD$197, 0)), "")</f>
        <v>0.80455845040381013</v>
      </c>
      <c r="R67" s="564" t="str">
        <f>IF(ISNUMBER(INDEX(Database!$L$6:$L$197, MATCH($B67&amp;"% GDP", Database!$AD$6:$AD$197, 0))), INDEX(Database!$L$6:$L$197, MATCH($B67&amp;"% GDP", Database!$AD$6:$AD$197, 0)), "")</f>
        <v/>
      </c>
      <c r="S67" s="564"/>
      <c r="T67" s="587">
        <f>IF(ISNUMBER(INDEX(Database!$P$6:$P$197, MATCH($B67&amp;"% GDP", Database!$AD$6:$AD$197, 0))), INDEX(Database!$P$6:$P$197, MATCH($B67&amp;"% GDP", Database!$AD$6:$AD$197, 0)), "")</f>
        <v>1.8202679873389367</v>
      </c>
      <c r="U67" s="564">
        <f>IF(ISNUMBER(INDEX(Database!$Q$6:$Q$197, MATCH($B67&amp;"% GDP", Database!$AD$6:$AD$197, 0))), INDEX(Database!$Q$6:$Q$197, MATCH($B67&amp;"% GDP", Database!$AD$6:$AD$197, 0)), "")</f>
        <v>1.8202679873389367</v>
      </c>
      <c r="V67" s="564"/>
      <c r="W67" s="564" t="str">
        <f>IF(ISNUMBER(INDEX(Database!$U$6:$U$197, MATCH($B67&amp;"% GDP", Database!$AD$6:$AD$197, 0))), INDEX(Database!$U$6:$U$197, MATCH($B67&amp;"% GDP", Database!$AD$6:$AD$197, 0)), "")</f>
        <v/>
      </c>
      <c r="X67" s="564" t="str">
        <f>IF(ISNUMBER(INDEX(Database!$W$6:$W$197, MATCH($B67&amp;"% GDP", Database!$AD$6:$AD$197, 0))), INDEX(Database!$W$6:$W$197, MATCH($B67&amp;"% GDP", Database!$AD$6:$AD$197, 0)), "")</f>
        <v/>
      </c>
    </row>
    <row r="68" spans="2:24">
      <c r="B68" s="562" t="s">
        <v>38</v>
      </c>
      <c r="C68" s="588">
        <f>IF(ISNUMBER(INDEX(Database!$G$6:$G$197, MATCH($B68&amp;"USD bn", Database!$AD$6:$AD$197, 0))), INDEX(Database!$G$6:$G$197, MATCH($B68&amp;"USD bn", Database!$AD$6:$AD$197, 0)), "")</f>
        <v>0.81767544130184866</v>
      </c>
      <c r="D68" s="567">
        <f>IF(ISNUMBER(INDEX(Database!$H$6:$H$197, MATCH($B68&amp;"USD bn", Database!$AD$6:$AD$197, 0))), INDEX(Database!$H$6:$H$197, MATCH($B68&amp;"USD bn", Database!$AD$6:$AD$197, 0)), "")</f>
        <v>0.51664070171808341</v>
      </c>
      <c r="E68" s="567">
        <f>IF(ISNUMBER(INDEX(Database!$J$6:$J$197, MATCH($B68&amp;"USD bn", Database!$AD$6:$AD$197, 0))), INDEX(Database!$J$6:$J$197, MATCH($B68&amp;"USD bn", Database!$AD$6:$AD$197, 0)), "")</f>
        <v>0.3010347395837652</v>
      </c>
      <c r="F68" s="567" t="str">
        <f>IF(ISNUMBER(INDEX(Database!$L$6:$L$197, MATCH($B68&amp;"USD bn", Database!$AD$6:$AD$197, 0))), INDEX(Database!$L$6:$L$197, MATCH($B68&amp;"USD bn", Database!$AD$6:$AD$197, 0)), "")</f>
        <v/>
      </c>
      <c r="G68" s="567"/>
      <c r="H68" s="588">
        <f>IF(ISNUMBER(INDEX(Database!$P$6:$P$197, MATCH($B68&amp;"USD bn", Database!$AD$6:$AD$197, 0))), INDEX(Database!$P$6:$P$197, MATCH($B68&amp;"USD bn", Database!$AD$6:$AD$197, 0)), "")</f>
        <v>0.27967754522140348</v>
      </c>
      <c r="I68" s="567" t="str">
        <f>IF(ISNUMBER(INDEX(Database!$Q$6:$Q$197, MATCH($B68&amp;"USD bn", Database!$AD$6:$AD$197, 0))), INDEX(Database!$Q$6:$Q$197, MATCH($B68&amp;"USD bn", Database!$AD$6:$AD$197, 0)), "")</f>
        <v/>
      </c>
      <c r="J68" s="567"/>
      <c r="K68" s="567">
        <f>IF(ISNUMBER(INDEX(Database!$U$6:$U$197, MATCH($B68&amp;"USD bn", Database!$AD$6:$AD$197, 0))), INDEX(Database!$U$6:$U$197, MATCH($B68&amp;"USD bn", Database!$AD$6:$AD$197, 0)), "")</f>
        <v>0.27967754522140348</v>
      </c>
      <c r="L68" s="567">
        <f>IF(ISNUMBER(INDEX(Database!$W$6:$W$197, MATCH($B68&amp;"USD bn", Database!$AD$6:$AD$197, 0))), INDEX(Database!$W$6:$W$197, MATCH($B68&amp;"USD bn", Database!$AD$6:$AD$197, 0)), "")</f>
        <v>0</v>
      </c>
      <c r="O68" s="587">
        <f>IF(ISNUMBER(INDEX(Database!$G$6:$G$197, MATCH($B68&amp;"% GDP", Database!$AD$6:$AD$197, 0))), INDEX(Database!$G$6:$G$197, MATCH($B68&amp;"% GDP", Database!$AD$6:$AD$197, 0)), "")</f>
        <v>3.43159415816337</v>
      </c>
      <c r="P68" s="564">
        <f>IF(ISNUMBER(INDEX(Database!$H$6:$H$197, MATCH($B68&amp;"% GDP", Database!$AD$6:$AD$197, 0))), INDEX(Database!$H$6:$H$197, MATCH($B68&amp;"% GDP", Database!$AD$6:$AD$197, 0)), "")</f>
        <v>2.1682211845111836</v>
      </c>
      <c r="Q68" s="564">
        <f>IF(ISNUMBER(INDEX(Database!$J$6:$J$197, MATCH($B68&amp;"% GDP", Database!$AD$6:$AD$197, 0))), INDEX(Database!$J$6:$J$197, MATCH($B68&amp;"% GDP", Database!$AD$6:$AD$197, 0)), "")</f>
        <v>1.2633729736521859</v>
      </c>
      <c r="R68" s="564" t="str">
        <f>IF(ISNUMBER(INDEX(Database!$L$6:$L$197, MATCH($B68&amp;"% GDP", Database!$AD$6:$AD$197, 0))), INDEX(Database!$L$6:$L$197, MATCH($B68&amp;"% GDP", Database!$AD$6:$AD$197, 0)), "")</f>
        <v/>
      </c>
      <c r="S68" s="564"/>
      <c r="T68" s="587">
        <f>IF(ISNUMBER(INDEX(Database!$P$6:$P$197, MATCH($B68&amp;"% GDP", Database!$AD$6:$AD$197, 0))), INDEX(Database!$P$6:$P$197, MATCH($B68&amp;"% GDP", Database!$AD$6:$AD$197, 0)), "")</f>
        <v>1.173741782953889</v>
      </c>
      <c r="U68" s="564" t="str">
        <f>IF(ISNUMBER(INDEX(Database!$Q$6:$Q$197, MATCH($B68&amp;"% GDP", Database!$AD$6:$AD$197, 0))), INDEX(Database!$Q$6:$Q$197, MATCH($B68&amp;"% GDP", Database!$AD$6:$AD$197, 0)), "")</f>
        <v/>
      </c>
      <c r="V68" s="564"/>
      <c r="W68" s="564">
        <f>IF(ISNUMBER(INDEX(Database!$U$6:$U$197, MATCH($B68&amp;"% GDP", Database!$AD$6:$AD$197, 0))), INDEX(Database!$U$6:$U$197, MATCH($B68&amp;"% GDP", Database!$AD$6:$AD$197, 0)), "")</f>
        <v>1.173741782953889</v>
      </c>
      <c r="X68" s="564">
        <f>IF(ISNUMBER(INDEX(Database!$W$6:$W$197, MATCH($B68&amp;"% GDP", Database!$AD$6:$AD$197, 0))), INDEX(Database!$W$6:$W$197, MATCH($B68&amp;"% GDP", Database!$AD$6:$AD$197, 0)), "")</f>
        <v>0</v>
      </c>
    </row>
    <row r="69" spans="2:24">
      <c r="B69" s="562" t="s">
        <v>552</v>
      </c>
      <c r="C69" s="588">
        <f>IF(ISNUMBER(INDEX(Database!$G$6:$G$197, MATCH($B69&amp;"USD bn", Database!$AD$6:$AD$197, 0))), INDEX(Database!$G$6:$G$197, MATCH($B69&amp;"USD bn", Database!$AD$6:$AD$197, 0)), "")</f>
        <v>2.5109136596508708</v>
      </c>
      <c r="D69" s="567">
        <f>IF(ISNUMBER(INDEX(Database!$H$6:$H$197, MATCH($B69&amp;"USD bn", Database!$AD$6:$AD$197, 0))), INDEX(Database!$H$6:$H$197, MATCH($B69&amp;"USD bn", Database!$AD$6:$AD$197, 0)), "")</f>
        <v>0.20575013296076938</v>
      </c>
      <c r="E69" s="567">
        <f>IF(ISNUMBER(INDEX(Database!$J$6:$J$197, MATCH($B69&amp;"USD bn", Database!$AD$6:$AD$197, 0))), INDEX(Database!$J$6:$J$197, MATCH($B69&amp;"USD bn", Database!$AD$6:$AD$197, 0)), "")</f>
        <v>2.3051635266901012</v>
      </c>
      <c r="F69" s="567">
        <f>IF(ISNUMBER(INDEX(Database!$L$6:$L$197, MATCH($B69&amp;"USD bn", Database!$AD$6:$AD$197, 0))), INDEX(Database!$L$6:$L$197, MATCH($B69&amp;"USD bn", Database!$AD$6:$AD$197, 0)), "")</f>
        <v>0.3143404809122865</v>
      </c>
      <c r="G69" s="567"/>
      <c r="H69" s="588" t="str">
        <f>IF(ISNUMBER(INDEX(Database!$P$6:$P$197, MATCH($B69&amp;"USD bn", Database!$AD$6:$AD$197, 0))), INDEX(Database!$P$6:$P$197, MATCH($B69&amp;"USD bn", Database!$AD$6:$AD$197, 0)), "")</f>
        <v/>
      </c>
      <c r="I69" s="567" t="str">
        <f>IF(ISNUMBER(INDEX(Database!$Q$6:$Q$197, MATCH($B69&amp;"USD bn", Database!$AD$6:$AD$197, 0))), INDEX(Database!$Q$6:$Q$197, MATCH($B69&amp;"USD bn", Database!$AD$6:$AD$197, 0)), "")</f>
        <v/>
      </c>
      <c r="J69" s="567"/>
      <c r="K69" s="567" t="str">
        <f>IF(ISNUMBER(INDEX(Database!$U$6:$U$197, MATCH($B69&amp;"USD bn", Database!$AD$6:$AD$197, 0))), INDEX(Database!$U$6:$U$197, MATCH($B69&amp;"USD bn", Database!$AD$6:$AD$197, 0)), "")</f>
        <v/>
      </c>
      <c r="L69" s="567" t="str">
        <f>IF(ISNUMBER(INDEX(Database!$W$6:$W$197, MATCH($B69&amp;"USD bn", Database!$AD$6:$AD$197, 0))), INDEX(Database!$W$6:$W$197, MATCH($B69&amp;"USD bn", Database!$AD$6:$AD$197, 0)), "")</f>
        <v/>
      </c>
      <c r="O69" s="587">
        <f>IF(ISNUMBER(INDEX(Database!$G$6:$G$197, MATCH($B69&amp;"% GDP", Database!$AD$6:$AD$197, 0))), INDEX(Database!$G$6:$G$197, MATCH($B69&amp;"% GDP", Database!$AD$6:$AD$197, 0)), "")</f>
        <v>2.4514108377373729</v>
      </c>
      <c r="P69" s="564">
        <f>IF(ISNUMBER(INDEX(Database!$H$6:$H$197, MATCH($B69&amp;"% GDP", Database!$AD$6:$AD$197, 0))), INDEX(Database!$H$6:$H$197, MATCH($B69&amp;"% GDP", Database!$AD$6:$AD$197, 0)), "")</f>
        <v>0.20087433268257682</v>
      </c>
      <c r="Q69" s="564">
        <f>IF(ISNUMBER(INDEX(Database!$J$6:$J$197, MATCH($B69&amp;"% GDP", Database!$AD$6:$AD$197, 0))), INDEX(Database!$J$6:$J$197, MATCH($B69&amp;"% GDP", Database!$AD$6:$AD$197, 0)), "")</f>
        <v>2.2505365050547956</v>
      </c>
      <c r="R69" s="564">
        <f>IF(ISNUMBER(INDEX(Database!$L$6:$L$197, MATCH($B69&amp;"% GDP", Database!$AD$6:$AD$197, 0))), INDEX(Database!$L$6:$L$197, MATCH($B69&amp;"% GDP", Database!$AD$6:$AD$197, 0)), "")</f>
        <v>0.30689134159838122</v>
      </c>
      <c r="S69" s="564"/>
      <c r="T69" s="587" t="str">
        <f>IF(ISNUMBER(INDEX(Database!$P$6:$P$197, MATCH($B69&amp;"% GDP", Database!$AD$6:$AD$197, 0))), INDEX(Database!$P$6:$P$197, MATCH($B69&amp;"% GDP", Database!$AD$6:$AD$197, 0)), "")</f>
        <v/>
      </c>
      <c r="U69" s="564" t="str">
        <f>IF(ISNUMBER(INDEX(Database!$Q$6:$Q$197, MATCH($B69&amp;"% GDP", Database!$AD$6:$AD$197, 0))), INDEX(Database!$Q$6:$Q$197, MATCH($B69&amp;"% GDP", Database!$AD$6:$AD$197, 0)), "")</f>
        <v/>
      </c>
      <c r="V69" s="564"/>
      <c r="W69" s="564" t="str">
        <f>IF(ISNUMBER(INDEX(Database!$U$6:$U$197, MATCH($B69&amp;"% GDP", Database!$AD$6:$AD$197, 0))), INDEX(Database!$U$6:$U$197, MATCH($B69&amp;"% GDP", Database!$AD$6:$AD$197, 0)), "")</f>
        <v/>
      </c>
      <c r="X69" s="564" t="str">
        <f>IF(ISNUMBER(INDEX(Database!$W$6:$W$197, MATCH($B69&amp;"% GDP", Database!$AD$6:$AD$197, 0))), INDEX(Database!$W$6:$W$197, MATCH($B69&amp;"% GDP", Database!$AD$6:$AD$197, 0)), "")</f>
        <v/>
      </c>
    </row>
    <row r="70" spans="2:24" s="479" customFormat="1">
      <c r="B70" s="562" t="s">
        <v>912</v>
      </c>
      <c r="C70" s="588">
        <f>IF(ISNUMBER(INDEX(Database!$G$6:$G$197, MATCH($B70&amp;"USD bn", Database!$AD$6:$AD$197, 0))), INDEX(Database!$G$6:$G$197, MATCH($B70&amp;"USD bn", Database!$AD$6:$AD$197, 0)), "")</f>
        <v>0.58733903180831615</v>
      </c>
      <c r="D70" s="567">
        <f>IF(ISNUMBER(INDEX(Database!$H$6:$H$197, MATCH($B70&amp;"USD bn", Database!$AD$6:$AD$197, 0))), INDEX(Database!$H$6:$H$197, MATCH($B70&amp;"USD bn", Database!$AD$6:$AD$197, 0)), "")</f>
        <v>0.13059822221699338</v>
      </c>
      <c r="E70" s="567">
        <f>IF(ISNUMBER(INDEX(Database!$J$6:$J$197, MATCH($B70&amp;"USD bn", Database!$AD$6:$AD$197, 0))), INDEX(Database!$J$6:$J$197, MATCH($B70&amp;"USD bn", Database!$AD$6:$AD$197, 0)), "")</f>
        <v>0.45674080959132279</v>
      </c>
      <c r="F70" s="567" t="str">
        <f>IF(ISNUMBER(INDEX(Database!$L$6:$L$197, MATCH($B70&amp;"USD bn", Database!$AD$6:$AD$197, 0))), INDEX(Database!$L$6:$L$197, MATCH($B70&amp;"USD bn", Database!$AD$6:$AD$197, 0)), "")</f>
        <v/>
      </c>
      <c r="G70" s="567"/>
      <c r="H70" s="588">
        <f>IF(ISNUMBER(INDEX(Database!$P$6:$P$197, MATCH($B70&amp;"USD bn", Database!$AD$6:$AD$197, 0))), INDEX(Database!$P$6:$P$197, MATCH($B70&amp;"USD bn", Database!$AD$6:$AD$197, 0)), "")</f>
        <v>0.21178090089242169</v>
      </c>
      <c r="I70" s="567">
        <f>IF(ISNUMBER(INDEX(Database!$Q$6:$Q$197, MATCH($B70&amp;"USD bn", Database!$AD$6:$AD$197, 0))), INDEX(Database!$Q$6:$Q$197, MATCH($B70&amp;"USD bn", Database!$AD$6:$AD$197, 0)), "")</f>
        <v>0.21178090089242169</v>
      </c>
      <c r="J70" s="567"/>
      <c r="K70" s="567" t="str">
        <f>IF(ISNUMBER(INDEX(Database!$U$6:$U$197, MATCH($B70&amp;"USD bn", Database!$AD$6:$AD$197, 0))), INDEX(Database!$U$6:$U$197, MATCH($B70&amp;"USD bn", Database!$AD$6:$AD$197, 0)), "")</f>
        <v/>
      </c>
      <c r="L70" s="567" t="str">
        <f>IF(ISNUMBER(INDEX(Database!$W$6:$W$197, MATCH($B70&amp;"USD bn", Database!$AD$6:$AD$197, 0))), INDEX(Database!$W$6:$W$197, MATCH($B70&amp;"USD bn", Database!$AD$6:$AD$197, 0)), "")</f>
        <v/>
      </c>
      <c r="O70" s="587">
        <f>IF(ISNUMBER(INDEX(Database!$G$6:$G$197, MATCH($B70&amp;"% GDP", Database!$AD$6:$AD$197, 0))), INDEX(Database!$G$6:$G$197, MATCH($B70&amp;"% GDP", Database!$AD$6:$AD$197, 0)), "")</f>
        <v>0.72281351560912455</v>
      </c>
      <c r="P70" s="564">
        <f>IF(ISNUMBER(INDEX(Database!$H$6:$H$197, MATCH($B70&amp;"% GDP", Database!$AD$6:$AD$197, 0))), INDEX(Database!$H$6:$H$197, MATCH($B70&amp;"% GDP", Database!$AD$6:$AD$197, 0)), "")</f>
        <v>0.16072175527366353</v>
      </c>
      <c r="Q70" s="564">
        <f>IF(ISNUMBER(INDEX(Database!$J$6:$J$197, MATCH($B70&amp;"% GDP", Database!$AD$6:$AD$197, 0))), INDEX(Database!$J$6:$J$197, MATCH($B70&amp;"% GDP", Database!$AD$6:$AD$197, 0)), "")</f>
        <v>0.56209176033546104</v>
      </c>
      <c r="R70" s="564" t="str">
        <f>IF(ISNUMBER(INDEX(Database!$L$6:$L$197, MATCH($B70&amp;"% GDP", Database!$AD$6:$AD$197, 0))), INDEX(Database!$L$6:$L$197, MATCH($B70&amp;"% GDP", Database!$AD$6:$AD$197, 0)), "")</f>
        <v/>
      </c>
      <c r="S70" s="564"/>
      <c r="T70" s="587">
        <f>IF(ISNUMBER(INDEX(Database!$P$6:$P$197, MATCH($B70&amp;"% GDP", Database!$AD$6:$AD$197, 0))), INDEX(Database!$P$6:$P$197, MATCH($B70&amp;"% GDP", Database!$AD$6:$AD$197, 0)), "")</f>
        <v>0.26062987341675165</v>
      </c>
      <c r="U70" s="564">
        <f>IF(ISNUMBER(INDEX(Database!$Q$6:$Q$197, MATCH($B70&amp;"% GDP", Database!$AD$6:$AD$197, 0))), INDEX(Database!$Q$6:$Q$197, MATCH($B70&amp;"% GDP", Database!$AD$6:$AD$197, 0)), "")</f>
        <v>0.26062987341675165</v>
      </c>
      <c r="V70" s="564"/>
      <c r="W70" s="564" t="str">
        <f>IF(ISNUMBER(INDEX(Database!$U$6:$U$197, MATCH($B70&amp;"% GDP", Database!$AD$6:$AD$197, 0))), INDEX(Database!$U$6:$U$197, MATCH($B70&amp;"% GDP", Database!$AD$6:$AD$197, 0)), "")</f>
        <v/>
      </c>
      <c r="X70" s="564" t="str">
        <f>IF(ISNUMBER(INDEX(Database!$W$6:$W$197, MATCH($B70&amp;"% GDP", Database!$AD$6:$AD$197, 0))), INDEX(Database!$W$6:$W$197, MATCH($B70&amp;"% GDP", Database!$AD$6:$AD$197, 0)), "")</f>
        <v/>
      </c>
    </row>
    <row r="71" spans="2:24" s="479" customFormat="1">
      <c r="B71" s="562" t="s">
        <v>914</v>
      </c>
      <c r="C71" s="588" t="str">
        <f>IF(ISNUMBER(INDEX(Database!$G$6:$G$197, MATCH($B71&amp;"USD bn", Database!$AD$6:$AD$197, 0))), INDEX(Database!$G$6:$G$197, MATCH($B71&amp;"USD bn", Database!$AD$6:$AD$197, 0)), "")</f>
        <v/>
      </c>
      <c r="D71" s="567" t="str">
        <f>IF(ISNUMBER(INDEX(Database!$H$6:$H$197, MATCH($B71&amp;"USD bn", Database!$AD$6:$AD$197, 0))), INDEX(Database!$H$6:$H$197, MATCH($B71&amp;"USD bn", Database!$AD$6:$AD$197, 0)), "")</f>
        <v/>
      </c>
      <c r="E71" s="567" t="str">
        <f>IF(ISNUMBER(INDEX(Database!$J$6:$J$197, MATCH($B71&amp;"USD bn", Database!$AD$6:$AD$197, 0))), INDEX(Database!$J$6:$J$197, MATCH($B71&amp;"USD bn", Database!$AD$6:$AD$197, 0)), "")</f>
        <v/>
      </c>
      <c r="F71" s="567" t="str">
        <f>IF(ISNUMBER(INDEX(Database!$L$6:$L$197, MATCH($B71&amp;"USD bn", Database!$AD$6:$AD$197, 0))), INDEX(Database!$L$6:$L$197, MATCH($B71&amp;"USD bn", Database!$AD$6:$AD$197, 0)), "")</f>
        <v/>
      </c>
      <c r="G71" s="567"/>
      <c r="H71" s="588" t="str">
        <f>IF(ISNUMBER(INDEX(Database!$P$6:$P$197, MATCH($B71&amp;"USD bn", Database!$AD$6:$AD$197, 0))), INDEX(Database!$P$6:$P$197, MATCH($B71&amp;"USD bn", Database!$AD$6:$AD$197, 0)), "")</f>
        <v/>
      </c>
      <c r="I71" s="567" t="str">
        <f>IF(ISNUMBER(INDEX(Database!$Q$6:$Q$197, MATCH($B71&amp;"USD bn", Database!$AD$6:$AD$197, 0))), INDEX(Database!$Q$6:$Q$197, MATCH($B71&amp;"USD bn", Database!$AD$6:$AD$197, 0)), "")</f>
        <v/>
      </c>
      <c r="J71" s="567"/>
      <c r="K71" s="567" t="str">
        <f>IF(ISNUMBER(INDEX(Database!$U$6:$U$197, MATCH($B71&amp;"USD bn", Database!$AD$6:$AD$197, 0))), INDEX(Database!$U$6:$U$197, MATCH($B71&amp;"USD bn", Database!$AD$6:$AD$197, 0)), "")</f>
        <v/>
      </c>
      <c r="L71" s="567" t="str">
        <f>IF(ISNUMBER(INDEX(Database!$W$6:$W$197, MATCH($B71&amp;"USD bn", Database!$AD$6:$AD$197, 0))), INDEX(Database!$W$6:$W$197, MATCH($B71&amp;"USD bn", Database!$AD$6:$AD$197, 0)), "")</f>
        <v/>
      </c>
      <c r="O71" s="587" t="str">
        <f>IF(ISNUMBER(INDEX(Database!$G$6:$G$197, MATCH($B71&amp;"% GDP", Database!$AD$6:$AD$197, 0))), INDEX(Database!$G$6:$G$197, MATCH($B71&amp;"% GDP", Database!$AD$6:$AD$197, 0)), "")</f>
        <v/>
      </c>
      <c r="P71" s="564" t="str">
        <f>IF(ISNUMBER(INDEX(Database!$H$6:$H$197, MATCH($B71&amp;"% GDP", Database!$AD$6:$AD$197, 0))), INDEX(Database!$H$6:$H$197, MATCH($B71&amp;"% GDP", Database!$AD$6:$AD$197, 0)), "")</f>
        <v/>
      </c>
      <c r="Q71" s="564" t="str">
        <f>IF(ISNUMBER(INDEX(Database!$J$6:$J$197, MATCH($B71&amp;"% GDP", Database!$AD$6:$AD$197, 0))), INDEX(Database!$J$6:$J$197, MATCH($B71&amp;"% GDP", Database!$AD$6:$AD$197, 0)), "")</f>
        <v/>
      </c>
      <c r="R71" s="564" t="str">
        <f>IF(ISNUMBER(INDEX(Database!$L$6:$L$197, MATCH($B71&amp;"% GDP", Database!$AD$6:$AD$197, 0))), INDEX(Database!$L$6:$L$197, MATCH($B71&amp;"% GDP", Database!$AD$6:$AD$197, 0)), "")</f>
        <v/>
      </c>
      <c r="S71" s="564"/>
      <c r="T71" s="587" t="str">
        <f>IF(ISNUMBER(INDEX(Database!$P$6:$P$197, MATCH($B71&amp;"% GDP", Database!$AD$6:$AD$197, 0))), INDEX(Database!$P$6:$P$197, MATCH($B71&amp;"% GDP", Database!$AD$6:$AD$197, 0)), "")</f>
        <v/>
      </c>
      <c r="U71" s="564" t="str">
        <f>IF(ISNUMBER(INDEX(Database!$Q$6:$Q$197, MATCH($B71&amp;"% GDP", Database!$AD$6:$AD$197, 0))), INDEX(Database!$Q$6:$Q$197, MATCH($B71&amp;"% GDP", Database!$AD$6:$AD$197, 0)), "")</f>
        <v/>
      </c>
      <c r="V71" s="564"/>
      <c r="W71" s="564" t="str">
        <f>IF(ISNUMBER(INDEX(Database!$U$6:$U$197, MATCH($B71&amp;"% GDP", Database!$AD$6:$AD$197, 0))), INDEX(Database!$U$6:$U$197, MATCH($B71&amp;"% GDP", Database!$AD$6:$AD$197, 0)), "")</f>
        <v/>
      </c>
      <c r="X71" s="564" t="str">
        <f>IF(ISNUMBER(INDEX(Database!$W$6:$W$197, MATCH($B71&amp;"% GDP", Database!$AD$6:$AD$197, 0))), INDEX(Database!$W$6:$W$197, MATCH($B71&amp;"% GDP", Database!$AD$6:$AD$197, 0)), "")</f>
        <v/>
      </c>
    </row>
    <row r="72" spans="2:24" s="479" customFormat="1">
      <c r="B72" s="562" t="s">
        <v>915</v>
      </c>
      <c r="C72" s="588">
        <f>IF(ISNUMBER(INDEX(Database!$G$6:$G$197, MATCH($B72&amp;"USD bn", Database!$AD$6:$AD$197, 0))), INDEX(Database!$G$6:$G$197, MATCH($B72&amp;"USD bn", Database!$AD$6:$AD$197, 0)), "")</f>
        <v>0.10176470509427343</v>
      </c>
      <c r="D72" s="567">
        <f>IF(ISNUMBER(INDEX(Database!$H$6:$H$197, MATCH($B72&amp;"USD bn", Database!$AD$6:$AD$197, 0))), INDEX(Database!$H$6:$H$197, MATCH($B72&amp;"USD bn", Database!$AD$6:$AD$197, 0)), "")</f>
        <v>4.4801524297786645E-2</v>
      </c>
      <c r="E72" s="567">
        <f>IF(ISNUMBER(INDEX(Database!$J$6:$J$197, MATCH($B72&amp;"USD bn", Database!$AD$6:$AD$197, 0))), INDEX(Database!$J$6:$J$197, MATCH($B72&amp;"USD bn", Database!$AD$6:$AD$197, 0)), "")</f>
        <v>5.6963180796486788E-2</v>
      </c>
      <c r="F72" s="567" t="str">
        <f>IF(ISNUMBER(INDEX(Database!$L$6:$L$197, MATCH($B72&amp;"USD bn", Database!$AD$6:$AD$197, 0))), INDEX(Database!$L$6:$L$197, MATCH($B72&amp;"USD bn", Database!$AD$6:$AD$197, 0)), "")</f>
        <v/>
      </c>
      <c r="G72" s="567"/>
      <c r="H72" s="588">
        <f>IF(ISNUMBER(INDEX(Database!$P$6:$P$197, MATCH($B72&amp;"USD bn", Database!$AD$6:$AD$197, 0))), INDEX(Database!$P$6:$P$197, MATCH($B72&amp;"USD bn", Database!$AD$6:$AD$197, 0)), "")</f>
        <v>0.17398650212732678</v>
      </c>
      <c r="I72" s="567">
        <f>IF(ISNUMBER(INDEX(Database!$Q$6:$Q$197, MATCH($B72&amp;"USD bn", Database!$AD$6:$AD$197, 0))), INDEX(Database!$Q$6:$Q$197, MATCH($B72&amp;"USD bn", Database!$AD$6:$AD$197, 0)), "")</f>
        <v>8.6993251063663388E-2</v>
      </c>
      <c r="J72" s="567"/>
      <c r="K72" s="567">
        <f>IF(ISNUMBER(INDEX(Database!$U$6:$U$197, MATCH($B72&amp;"USD bn", Database!$AD$6:$AD$197, 0))), INDEX(Database!$U$6:$U$197, MATCH($B72&amp;"USD bn", Database!$AD$6:$AD$197, 0)), "")</f>
        <v>8.6993251063663388E-2</v>
      </c>
      <c r="L72" s="567" t="str">
        <f>IF(ISNUMBER(INDEX(Database!$W$6:$W$197, MATCH($B72&amp;"USD bn", Database!$AD$6:$AD$197, 0))), INDEX(Database!$W$6:$W$197, MATCH($B72&amp;"USD bn", Database!$AD$6:$AD$197, 0)), "")</f>
        <v/>
      </c>
      <c r="O72" s="587">
        <f>IF(ISNUMBER(INDEX(Database!$G$6:$G$197, MATCH($B72&amp;"% GDP", Database!$AD$6:$AD$197, 0))), INDEX(Database!$G$6:$G$197, MATCH($B72&amp;"% GDP", Database!$AD$6:$AD$197, 0)), "")</f>
        <v>0.73950497267868009</v>
      </c>
      <c r="P72" s="564">
        <f>IF(ISNUMBER(INDEX(Database!$H$6:$H$197, MATCH($B72&amp;"% GDP", Database!$AD$6:$AD$197, 0))), INDEX(Database!$H$6:$H$197, MATCH($B72&amp;"% GDP", Database!$AD$6:$AD$197, 0)), "")</f>
        <v>0.32556425109379405</v>
      </c>
      <c r="Q72" s="564">
        <f>IF(ISNUMBER(INDEX(Database!$J$6:$J$197, MATCH($B72&amp;"% GDP", Database!$AD$6:$AD$197, 0))), INDEX(Database!$J$6:$J$197, MATCH($B72&amp;"% GDP", Database!$AD$6:$AD$197, 0)), "")</f>
        <v>0.4139407215848861</v>
      </c>
      <c r="R72" s="564" t="str">
        <f>IF(ISNUMBER(INDEX(Database!$L$6:$L$197, MATCH($B72&amp;"% GDP", Database!$AD$6:$AD$197, 0))), INDEX(Database!$L$6:$L$197, MATCH($B72&amp;"% GDP", Database!$AD$6:$AD$197, 0)), "")</f>
        <v/>
      </c>
      <c r="S72" s="564"/>
      <c r="T72" s="587">
        <f>IF(ISNUMBER(INDEX(Database!$P$6:$P$197, MATCH($B72&amp;"% GDP", Database!$AD$6:$AD$197, 0))), INDEX(Database!$P$6:$P$197, MATCH($B72&amp;"% GDP", Database!$AD$6:$AD$197, 0)), "")</f>
        <v>1.2643271887137633</v>
      </c>
      <c r="U72" s="564">
        <f>IF(ISNUMBER(INDEX(Database!$Q$6:$Q$197, MATCH($B72&amp;"% GDP", Database!$AD$6:$AD$197, 0))), INDEX(Database!$Q$6:$Q$197, MATCH($B72&amp;"% GDP", Database!$AD$6:$AD$197, 0)), "")</f>
        <v>0.63216359435688163</v>
      </c>
      <c r="V72" s="564"/>
      <c r="W72" s="564">
        <f>IF(ISNUMBER(INDEX(Database!$U$6:$U$197, MATCH($B72&amp;"% GDP", Database!$AD$6:$AD$197, 0))), INDEX(Database!$U$6:$U$197, MATCH($B72&amp;"% GDP", Database!$AD$6:$AD$197, 0)), "")</f>
        <v>0.63216359435688163</v>
      </c>
      <c r="X72" s="564" t="str">
        <f>IF(ISNUMBER(INDEX(Database!$W$6:$W$197, MATCH($B72&amp;"% GDP", Database!$AD$6:$AD$197, 0))), INDEX(Database!$W$6:$W$197, MATCH($B72&amp;"% GDP", Database!$AD$6:$AD$197, 0)), "")</f>
        <v/>
      </c>
    </row>
    <row r="73" spans="2:24">
      <c r="B73" s="562" t="s">
        <v>29</v>
      </c>
      <c r="C73" s="588">
        <f>IF(ISNUMBER(INDEX(Database!$G$6:$G$197, MATCH($B73&amp;"USD bn", Database!$AD$6:$AD$197, 0))), INDEX(Database!$G$6:$G$197, MATCH($B73&amp;"USD bn", Database!$AD$6:$AD$197, 0)), "")</f>
        <v>10.381162278157996</v>
      </c>
      <c r="D73" s="567">
        <f>IF(ISNUMBER(INDEX(Database!$H$6:$H$197, MATCH($B73&amp;"USD bn", Database!$AD$6:$AD$197, 0))), INDEX(Database!$H$6:$H$197, MATCH($B73&amp;"USD bn", Database!$AD$6:$AD$197, 0)), "")</f>
        <v>6.6034102772300267</v>
      </c>
      <c r="E73" s="567">
        <f>IF(ISNUMBER(INDEX(Database!$J$6:$J$197, MATCH($B73&amp;"USD bn", Database!$AD$6:$AD$197, 0))), INDEX(Database!$J$6:$J$197, MATCH($B73&amp;"USD bn", Database!$AD$6:$AD$197, 0)), "")</f>
        <v>3.7777520009279706</v>
      </c>
      <c r="F73" s="567" t="str">
        <f>IF(ISNUMBER(INDEX(Database!$L$6:$L$197, MATCH($B73&amp;"USD bn", Database!$AD$6:$AD$197, 0))), INDEX(Database!$L$6:$L$197, MATCH($B73&amp;"USD bn", Database!$AD$6:$AD$197, 0)), "")</f>
        <v/>
      </c>
      <c r="G73" s="567"/>
      <c r="H73" s="588" t="str">
        <f>IF(ISNUMBER(INDEX(Database!$P$6:$P$197, MATCH($B73&amp;"USD bn", Database!$AD$6:$AD$197, 0))), INDEX(Database!$P$6:$P$197, MATCH($B73&amp;"USD bn", Database!$AD$6:$AD$197, 0)), "")</f>
        <v/>
      </c>
      <c r="I73" s="567" t="str">
        <f>IF(ISNUMBER(INDEX(Database!$Q$6:$Q$197, MATCH($B73&amp;"USD bn", Database!$AD$6:$AD$197, 0))), INDEX(Database!$Q$6:$Q$197, MATCH($B73&amp;"USD bn", Database!$AD$6:$AD$197, 0)), "")</f>
        <v/>
      </c>
      <c r="J73" s="567"/>
      <c r="K73" s="567" t="str">
        <f>IF(ISNUMBER(INDEX(Database!$U$6:$U$197, MATCH($B73&amp;"USD bn", Database!$AD$6:$AD$197, 0))), INDEX(Database!$U$6:$U$197, MATCH($B73&amp;"USD bn", Database!$AD$6:$AD$197, 0)), "")</f>
        <v/>
      </c>
      <c r="L73" s="567" t="str">
        <f>IF(ISNUMBER(INDEX(Database!$W$6:$W$197, MATCH($B73&amp;"USD bn", Database!$AD$6:$AD$197, 0))), INDEX(Database!$W$6:$W$197, MATCH($B73&amp;"USD bn", Database!$AD$6:$AD$197, 0)), "")</f>
        <v/>
      </c>
      <c r="M73" s="479"/>
      <c r="N73" s="479"/>
      <c r="O73" s="587">
        <f>IF(ISNUMBER(INDEX(Database!$G$6:$G$197, MATCH($B73&amp;"% GDP", Database!$AD$6:$AD$197, 0))), INDEX(Database!$G$6:$G$197, MATCH($B73&amp;"% GDP", Database!$AD$6:$AD$197, 0)), "")</f>
        <v>2.4174676981648453</v>
      </c>
      <c r="P73" s="564">
        <f>IF(ISNUMBER(INDEX(Database!$H$6:$H$197, MATCH($B73&amp;"% GDP", Database!$AD$6:$AD$197, 0))), INDEX(Database!$H$6:$H$197, MATCH($B73&amp;"% GDP", Database!$AD$6:$AD$197, 0)), "")</f>
        <v>1.5377402467275443</v>
      </c>
      <c r="Q73" s="564">
        <f>IF(ISNUMBER(INDEX(Database!$J$6:$J$197, MATCH($B73&amp;"% GDP", Database!$AD$6:$AD$197, 0))), INDEX(Database!$J$6:$J$197, MATCH($B73&amp;"% GDP", Database!$AD$6:$AD$197, 0)), "")</f>
        <v>0.8797274514373008</v>
      </c>
      <c r="R73" s="564" t="str">
        <f>IF(ISNUMBER(INDEX(Database!$L$6:$L$197, MATCH($B73&amp;"% GDP", Database!$AD$6:$AD$197, 0))), INDEX(Database!$L$6:$L$197, MATCH($B73&amp;"% GDP", Database!$AD$6:$AD$197, 0)), "")</f>
        <v/>
      </c>
      <c r="S73" s="564"/>
      <c r="T73" s="587" t="str">
        <f>IF(ISNUMBER(INDEX(Database!$P$6:$P$197, MATCH($B73&amp;"% GDP", Database!$AD$6:$AD$197, 0))), INDEX(Database!$P$6:$P$197, MATCH($B73&amp;"% GDP", Database!$AD$6:$AD$197, 0)), "")</f>
        <v/>
      </c>
      <c r="U73" s="564" t="str">
        <f>IF(ISNUMBER(INDEX(Database!$Q$6:$Q$197, MATCH($B73&amp;"% GDP", Database!$AD$6:$AD$197, 0))), INDEX(Database!$Q$6:$Q$197, MATCH($B73&amp;"% GDP", Database!$AD$6:$AD$197, 0)), "")</f>
        <v/>
      </c>
      <c r="V73" s="564"/>
      <c r="W73" s="564" t="str">
        <f>IF(ISNUMBER(INDEX(Database!$U$6:$U$197, MATCH($B73&amp;"% GDP", Database!$AD$6:$AD$197, 0))), INDEX(Database!$U$6:$U$197, MATCH($B73&amp;"% GDP", Database!$AD$6:$AD$197, 0)), "")</f>
        <v/>
      </c>
      <c r="X73" s="564" t="str">
        <f>IF(ISNUMBER(INDEX(Database!$W$6:$W$197, MATCH($B73&amp;"% GDP", Database!$AD$6:$AD$197, 0))), INDEX(Database!$W$6:$W$197, MATCH($B73&amp;"% GDP", Database!$AD$6:$AD$197, 0)), "")</f>
        <v/>
      </c>
    </row>
    <row r="74" spans="2:24">
      <c r="B74" s="562" t="s">
        <v>93</v>
      </c>
      <c r="C74" s="588">
        <f>IF(ISNUMBER(INDEX(Database!$G$6:$G$197, MATCH($B74&amp;"USD bn", Database!$AD$6:$AD$197, 0))), INDEX(Database!$G$6:$G$197, MATCH($B74&amp;"USD bn", Database!$AD$6:$AD$197, 0)), "")</f>
        <v>1.3831990179032452</v>
      </c>
      <c r="D74" s="567">
        <f>IF(ISNUMBER(INDEX(Database!$H$6:$H$197, MATCH($B74&amp;"USD bn", Database!$AD$6:$AD$197, 0))), INDEX(Database!$H$6:$H$197, MATCH($B74&amp;"USD bn", Database!$AD$6:$AD$197, 0)), "")</f>
        <v>0.31491700910753129</v>
      </c>
      <c r="E74" s="567">
        <f>IF(ISNUMBER(INDEX(Database!$J$6:$J$197, MATCH($B74&amp;"USD bn", Database!$AD$6:$AD$197, 0))), INDEX(Database!$J$6:$J$197, MATCH($B74&amp;"USD bn", Database!$AD$6:$AD$197, 0)), "")</f>
        <v>1.0682820087957139</v>
      </c>
      <c r="F74" s="567">
        <f>IF(ISNUMBER(INDEX(Database!$L$6:$L$197, MATCH($B74&amp;"USD bn", Database!$AD$6:$AD$197, 0))), INDEX(Database!$L$6:$L$197, MATCH($B74&amp;"USD bn", Database!$AD$6:$AD$197, 0)), "")</f>
        <v>0.13918983827957185</v>
      </c>
      <c r="G74" s="567"/>
      <c r="H74" s="588">
        <f>IF(ISNUMBER(INDEX(Database!$P$6:$P$197, MATCH($B74&amp;"USD bn", Database!$AD$6:$AD$197, 0))), INDEX(Database!$P$6:$P$197, MATCH($B74&amp;"USD bn", Database!$AD$6:$AD$197, 0)), "")</f>
        <v>0.34797459569892963</v>
      </c>
      <c r="I74" s="567" t="str">
        <f>IF(ISNUMBER(INDEX(Database!$Q$6:$Q$197, MATCH($B74&amp;"USD bn", Database!$AD$6:$AD$197, 0))), INDEX(Database!$Q$6:$Q$197, MATCH($B74&amp;"USD bn", Database!$AD$6:$AD$197, 0)), "")</f>
        <v/>
      </c>
      <c r="J74" s="567"/>
      <c r="K74" s="567">
        <f>IF(ISNUMBER(INDEX(Database!$U$6:$U$197, MATCH($B74&amp;"USD bn", Database!$AD$6:$AD$197, 0))), INDEX(Database!$U$6:$U$197, MATCH($B74&amp;"USD bn", Database!$AD$6:$AD$197, 0)), "")</f>
        <v>0.34797459569892963</v>
      </c>
      <c r="L74" s="567" t="str">
        <f>IF(ISNUMBER(INDEX(Database!$W$6:$W$197, MATCH($B74&amp;"USD bn", Database!$AD$6:$AD$197, 0))), INDEX(Database!$W$6:$W$197, MATCH($B74&amp;"USD bn", Database!$AD$6:$AD$197, 0)), "")</f>
        <v/>
      </c>
      <c r="M74" s="479"/>
      <c r="N74" s="479"/>
      <c r="O74" s="587">
        <f>IF(ISNUMBER(INDEX(Database!$G$6:$G$197, MATCH($B74&amp;"% GDP", Database!$AD$6:$AD$197, 0))), INDEX(Database!$G$6:$G$197, MATCH($B74&amp;"% GDP", Database!$AD$6:$AD$197, 0)), "")</f>
        <v>5.6043392101381073</v>
      </c>
      <c r="P74" s="564">
        <f>IF(ISNUMBER(INDEX(Database!$H$6:$H$197, MATCH($B74&amp;"% GDP", Database!$AD$6:$AD$197, 0))), INDEX(Database!$H$6:$H$197, MATCH($B74&amp;"% GDP", Database!$AD$6:$AD$197, 0)), "")</f>
        <v>1.2759564742578584</v>
      </c>
      <c r="Q74" s="564">
        <f>IF(ISNUMBER(INDEX(Database!$J$6:$J$197, MATCH($B74&amp;"% GDP", Database!$AD$6:$AD$197, 0))), INDEX(Database!$J$6:$J$197, MATCH($B74&amp;"% GDP", Database!$AD$6:$AD$197, 0)), "")</f>
        <v>4.3283827358802496</v>
      </c>
      <c r="R74" s="564">
        <f>IF(ISNUMBER(INDEX(Database!$L$6:$L$197, MATCH($B74&amp;"% GDP", Database!$AD$6:$AD$197, 0))), INDEX(Database!$L$6:$L$197, MATCH($B74&amp;"% GDP", Database!$AD$6:$AD$197, 0)), "")</f>
        <v>0.56395866265540706</v>
      </c>
      <c r="S74" s="564"/>
      <c r="T74" s="587">
        <f>IF(ISNUMBER(INDEX(Database!$P$6:$P$197, MATCH($B74&amp;"% GDP", Database!$AD$6:$AD$197, 0))), INDEX(Database!$P$6:$P$197, MATCH($B74&amp;"% GDP", Database!$AD$6:$AD$197, 0)), "")</f>
        <v>1.4098966566385176</v>
      </c>
      <c r="U74" s="564" t="str">
        <f>IF(ISNUMBER(INDEX(Database!$Q$6:$Q$197, MATCH($B74&amp;"% GDP", Database!$AD$6:$AD$197, 0))), INDEX(Database!$Q$6:$Q$197, MATCH($B74&amp;"% GDP", Database!$AD$6:$AD$197, 0)), "")</f>
        <v/>
      </c>
      <c r="V74" s="564"/>
      <c r="W74" s="564">
        <f>IF(ISNUMBER(INDEX(Database!$U$6:$U$197, MATCH($B74&amp;"% GDP", Database!$AD$6:$AD$197, 0))), INDEX(Database!$U$6:$U$197, MATCH($B74&amp;"% GDP", Database!$AD$6:$AD$197, 0)), "")</f>
        <v>1.4098966566385176</v>
      </c>
      <c r="X74" s="564" t="str">
        <f>IF(ISNUMBER(INDEX(Database!$W$6:$W$197, MATCH($B74&amp;"% GDP", Database!$AD$6:$AD$197, 0))), INDEX(Database!$W$6:$W$197, MATCH($B74&amp;"% GDP", Database!$AD$6:$AD$197, 0)), "")</f>
        <v/>
      </c>
    </row>
    <row r="75" spans="2:24" s="479" customFormat="1">
      <c r="B75" s="562" t="s">
        <v>913</v>
      </c>
      <c r="C75" s="588">
        <f>IF(ISNUMBER(INDEX(Database!$G$6:$G$197, MATCH($B75&amp;"USD bn", Database!$AD$6:$AD$197, 0))), INDEX(Database!$G$6:$G$197, MATCH($B75&amp;"USD bn", Database!$AD$6:$AD$197, 0)), "")</f>
        <v>3.3915014286441689</v>
      </c>
      <c r="D75" s="567">
        <f>IF(ISNUMBER(INDEX(Database!$H$6:$H$197, MATCH($B75&amp;"USD bn", Database!$AD$6:$AD$197, 0))), INDEX(Database!$H$6:$H$197, MATCH($B75&amp;"USD bn", Database!$AD$6:$AD$197, 0)), "")</f>
        <v>0.70117551530619915</v>
      </c>
      <c r="E75" s="567">
        <f>IF(ISNUMBER(INDEX(Database!$J$6:$J$197, MATCH($B75&amp;"USD bn", Database!$AD$6:$AD$197, 0))), INDEX(Database!$J$6:$J$197, MATCH($B75&amp;"USD bn", Database!$AD$6:$AD$197, 0)), "")</f>
        <v>2.6903259133379698</v>
      </c>
      <c r="F75" s="567" t="str">
        <f>IF(ISNUMBER(INDEX(Database!$L$6:$L$197, MATCH($B75&amp;"USD bn", Database!$AD$6:$AD$197, 0))), INDEX(Database!$L$6:$L$197, MATCH($B75&amp;"USD bn", Database!$AD$6:$AD$197, 0)), "")</f>
        <v/>
      </c>
      <c r="G75" s="567"/>
      <c r="H75" s="588">
        <f>IF(ISNUMBER(INDEX(Database!$P$6:$P$197, MATCH($B75&amp;"USD bn", Database!$AD$6:$AD$197, 0))), INDEX(Database!$P$6:$P$197, MATCH($B75&amp;"USD bn", Database!$AD$6:$AD$197, 0)), "")</f>
        <v>1.2307868087821581</v>
      </c>
      <c r="I75" s="567">
        <f>IF(ISNUMBER(INDEX(Database!$Q$6:$Q$197, MATCH($B75&amp;"USD bn", Database!$AD$6:$AD$197, 0))), INDEX(Database!$Q$6:$Q$197, MATCH($B75&amp;"USD bn", Database!$AD$6:$AD$197, 0)), "")</f>
        <v>1.2307868087821581</v>
      </c>
      <c r="J75" s="567"/>
      <c r="K75" s="567" t="str">
        <f>IF(ISNUMBER(INDEX(Database!$U$6:$U$197, MATCH($B75&amp;"USD bn", Database!$AD$6:$AD$197, 0))), INDEX(Database!$U$6:$U$197, MATCH($B75&amp;"USD bn", Database!$AD$6:$AD$197, 0)), "")</f>
        <v/>
      </c>
      <c r="L75" s="567" t="str">
        <f>IF(ISNUMBER(INDEX(Database!$W$6:$W$197, MATCH($B75&amp;"USD bn", Database!$AD$6:$AD$197, 0))), INDEX(Database!$W$6:$W$197, MATCH($B75&amp;"USD bn", Database!$AD$6:$AD$197, 0)), "")</f>
        <v/>
      </c>
      <c r="O75" s="587">
        <f>IF(ISNUMBER(INDEX(Database!$G$6:$G$197, MATCH($B75&amp;"% GDP", Database!$AD$6:$AD$197, 0))), INDEX(Database!$G$6:$G$197, MATCH($B75&amp;"% GDP", Database!$AD$6:$AD$197, 0)), "")</f>
        <v>5.6592682383610757</v>
      </c>
      <c r="P75" s="564">
        <f>IF(ISNUMBER(INDEX(Database!$H$6:$H$197, MATCH($B75&amp;"% GDP", Database!$AD$6:$AD$197, 0))), INDEX(Database!$H$6:$H$197, MATCH($B75&amp;"% GDP", Database!$AD$6:$AD$197, 0)), "")</f>
        <v>1.1700246651157062</v>
      </c>
      <c r="Q75" s="564">
        <f>IF(ISNUMBER(INDEX(Database!$J$6:$J$197, MATCH($B75&amp;"% GDP", Database!$AD$6:$AD$197, 0))), INDEX(Database!$J$6:$J$197, MATCH($B75&amp;"% GDP", Database!$AD$6:$AD$197, 0)), "")</f>
        <v>4.4892435732453695</v>
      </c>
      <c r="R75" s="564" t="str">
        <f>IF(ISNUMBER(INDEX(Database!$L$6:$L$197, MATCH($B75&amp;"% GDP", Database!$AD$6:$AD$197, 0))), INDEX(Database!$L$6:$L$197, MATCH($B75&amp;"% GDP", Database!$AD$6:$AD$197, 0)), "")</f>
        <v/>
      </c>
      <c r="S75" s="564"/>
      <c r="T75" s="587">
        <f>IF(ISNUMBER(INDEX(Database!$P$6:$P$197, MATCH($B75&amp;"% GDP", Database!$AD$6:$AD$197, 0))), INDEX(Database!$P$6:$P$197, MATCH($B75&amp;"% GDP", Database!$AD$6:$AD$197, 0)), "")</f>
        <v>2.0537666994052293</v>
      </c>
      <c r="U75" s="564">
        <f>IF(ISNUMBER(INDEX(Database!$Q$6:$Q$197, MATCH($B75&amp;"% GDP", Database!$AD$6:$AD$197, 0))), INDEX(Database!$Q$6:$Q$197, MATCH($B75&amp;"% GDP", Database!$AD$6:$AD$197, 0)), "")</f>
        <v>2.0537666994052293</v>
      </c>
      <c r="V75" s="564"/>
      <c r="W75" s="564" t="str">
        <f>IF(ISNUMBER(INDEX(Database!$U$6:$U$197, MATCH($B75&amp;"% GDP", Database!$AD$6:$AD$197, 0))), INDEX(Database!$U$6:$U$197, MATCH($B75&amp;"% GDP", Database!$AD$6:$AD$197, 0)), "")</f>
        <v/>
      </c>
      <c r="X75" s="564" t="str">
        <f>IF(ISNUMBER(INDEX(Database!$W$6:$W$197, MATCH($B75&amp;"% GDP", Database!$AD$6:$AD$197, 0))), INDEX(Database!$W$6:$W$197, MATCH($B75&amp;"% GDP", Database!$AD$6:$AD$197, 0)), "")</f>
        <v/>
      </c>
    </row>
    <row r="76" spans="2:24">
      <c r="B76" s="562" t="s">
        <v>33</v>
      </c>
      <c r="C76" s="588">
        <f>IF(ISNUMBER(INDEX(Database!$G$6:$G$197, MATCH($B76&amp;"USD bn", Database!$AD$6:$AD$197, 0))), INDEX(Database!$G$6:$G$197, MATCH($B76&amp;"USD bn", Database!$AD$6:$AD$197, 0)), "")</f>
        <v>6.074238065187715</v>
      </c>
      <c r="D76" s="567">
        <f>IF(ISNUMBER(INDEX(Database!$H$6:$H$197, MATCH($B76&amp;"USD bn", Database!$AD$6:$AD$197, 0))), INDEX(Database!$H$6:$H$197, MATCH($B76&amp;"USD bn", Database!$AD$6:$AD$197, 0)), "")</f>
        <v>1.3739501827943565</v>
      </c>
      <c r="E76" s="567">
        <f>IF(ISNUMBER(INDEX(Database!$J$6:$J$197, MATCH($B76&amp;"USD bn", Database!$AD$6:$AD$197, 0))), INDEX(Database!$J$6:$J$197, MATCH($B76&amp;"USD bn", Database!$AD$6:$AD$197, 0)), "")</f>
        <v>4.7002878823933587</v>
      </c>
      <c r="F76" s="567">
        <f>IF(ISNUMBER(INDEX(Database!$L$6:$L$197, MATCH($B76&amp;"USD bn", Database!$AD$6:$AD$197, 0))), INDEX(Database!$L$6:$L$197, MATCH($B76&amp;"USD bn", Database!$AD$6:$AD$197, 0)), "")</f>
        <v>12.70580890044938</v>
      </c>
      <c r="G76" s="567"/>
      <c r="H76" s="588">
        <f>IF(ISNUMBER(INDEX(Database!$P$6:$P$197, MATCH($B76&amp;"USD bn", Database!$AD$6:$AD$197, 0))), INDEX(Database!$P$6:$P$197, MATCH($B76&amp;"USD bn", Database!$AD$6:$AD$197, 0)), "")</f>
        <v>3.2776679909294839</v>
      </c>
      <c r="I76" s="567">
        <f>IF(ISNUMBER(INDEX(Database!$Q$6:$Q$197, MATCH($B76&amp;"USD bn", Database!$AD$6:$AD$197, 0))), INDEX(Database!$Q$6:$Q$197, MATCH($B76&amp;"USD bn", Database!$AD$6:$AD$197, 0)), "")</f>
        <v>1.119834004785369</v>
      </c>
      <c r="J76" s="567"/>
      <c r="K76" s="567" t="str">
        <f>IF(ISNUMBER(INDEX(Database!$U$6:$U$197, MATCH($B76&amp;"USD bn", Database!$AD$6:$AD$197, 0))), INDEX(Database!$U$6:$U$197, MATCH($B76&amp;"USD bn", Database!$AD$6:$AD$197, 0)), "")</f>
        <v/>
      </c>
      <c r="L76" s="567">
        <f>IF(ISNUMBER(INDEX(Database!$W$6:$W$197, MATCH($B76&amp;"USD bn", Database!$AD$6:$AD$197, 0))), INDEX(Database!$W$6:$W$197, MATCH($B76&amp;"USD bn", Database!$AD$6:$AD$197, 0)), "")</f>
        <v>2.1578339861441149</v>
      </c>
      <c r="M76" s="479"/>
      <c r="N76" s="479"/>
      <c r="O76" s="587">
        <f>IF(ISNUMBER(INDEX(Database!$G$6:$G$197, MATCH($B76&amp;"% GDP", Database!$AD$6:$AD$197, 0))), INDEX(Database!$G$6:$G$197, MATCH($B76&amp;"% GDP", Database!$AD$6:$AD$197, 0)), "")</f>
        <v>1.7703277371912942</v>
      </c>
      <c r="P76" s="564">
        <f>IF(ISNUMBER(INDEX(Database!$H$6:$H$197, MATCH($B76&amp;"% GDP", Database!$AD$6:$AD$197, 0))), INDEX(Database!$H$6:$H$197, MATCH($B76&amp;"% GDP", Database!$AD$6:$AD$197, 0)), "")</f>
        <v>0.40043575704745288</v>
      </c>
      <c r="Q76" s="564">
        <f>IF(ISNUMBER(INDEX(Database!$J$6:$J$197, MATCH($B76&amp;"% GDP", Database!$AD$6:$AD$197, 0))), INDEX(Database!$J$6:$J$197, MATCH($B76&amp;"% GDP", Database!$AD$6:$AD$197, 0)), "")</f>
        <v>1.3698919801438412</v>
      </c>
      <c r="R76" s="564">
        <f>IF(ISNUMBER(INDEX(Database!$L$6:$L$197, MATCH($B76&amp;"% GDP", Database!$AD$6:$AD$197, 0))), INDEX(Database!$L$6:$L$197, MATCH($B76&amp;"% GDP", Database!$AD$6:$AD$197, 0)), "")</f>
        <v>3.7030892893103009</v>
      </c>
      <c r="S76" s="564"/>
      <c r="T76" s="587">
        <f>IF(ISNUMBER(INDEX(Database!$P$6:$P$197, MATCH($B76&amp;"% GDP", Database!$AD$6:$AD$197, 0))), INDEX(Database!$P$6:$P$197, MATCH($B76&amp;"% GDP", Database!$AD$6:$AD$197, 0)), "")</f>
        <v>0.95527150819157258</v>
      </c>
      <c r="U76" s="564">
        <f>IF(ISNUMBER(INDEX(Database!$Q$6:$Q$197, MATCH($B76&amp;"% GDP", Database!$AD$6:$AD$197, 0))), INDEX(Database!$Q$6:$Q$197, MATCH($B76&amp;"% GDP", Database!$AD$6:$AD$197, 0)), "")</f>
        <v>0.3263739712612469</v>
      </c>
      <c r="V76" s="564"/>
      <c r="W76" s="564" t="str">
        <f>IF(ISNUMBER(INDEX(Database!$U$6:$U$197, MATCH($B76&amp;"% GDP", Database!$AD$6:$AD$197, 0))), INDEX(Database!$U$6:$U$197, MATCH($B76&amp;"% GDP", Database!$AD$6:$AD$197, 0)), "")</f>
        <v/>
      </c>
      <c r="X76" s="564">
        <f>IF(ISNUMBER(INDEX(Database!$W$6:$W$197, MATCH($B76&amp;"% GDP", Database!$AD$6:$AD$197, 0))), INDEX(Database!$W$6:$W$197, MATCH($B76&amp;"% GDP", Database!$AD$6:$AD$197, 0)), "")</f>
        <v>0.62889753693032568</v>
      </c>
    </row>
    <row r="77" spans="2:24" s="479" customFormat="1">
      <c r="B77" s="562" t="s">
        <v>916</v>
      </c>
      <c r="C77" s="588">
        <f>IF(ISNUMBER(INDEX(Database!$G$6:$G$202, MATCH($B77&amp;"USD bn", Database!$AD$6:$AD$202, 0))), INDEX(Database!$G$6:$G$202, MATCH($B77&amp;"USD bn", Database!$AD$6:$AD$202, 0)), "")</f>
        <v>0.38704558122717753</v>
      </c>
      <c r="D77" s="567">
        <f>IF(ISNUMBER(INDEX(Database!$H$6:$H$202, MATCH($B77&amp;"USD bn", Database!$AD$6:$AD$202, 0))), INDEX(Database!$H$6:$H$202, MATCH($B77&amp;"USD bn", Database!$AD$6:$AD$202, 0)), "")</f>
        <v>5.4513462144672897E-2</v>
      </c>
      <c r="E77" s="567">
        <f>IF(ISNUMBER(INDEX(Database!$J$6:$J$202, MATCH($B77&amp;"USD bn", Database!$AD$6:$AD$202, 0))), INDEX(Database!$J$6:$J$202, MATCH($B77&amp;"USD bn", Database!$AD$6:$AD$202, 0)), "")</f>
        <v>0.33253211908250463</v>
      </c>
      <c r="F77" s="567" t="str">
        <f>IF(ISNUMBER(INDEX(Database!$L$6:$L$202, MATCH($B77&amp;"USD bn", Database!$AD$6:$AD$202, 0))), INDEX(Database!$L$6:$L$202, MATCH($B77&amp;"USD bn", Database!$AD$6:$AD$202, 0)), "")</f>
        <v/>
      </c>
      <c r="G77" s="567"/>
      <c r="H77" s="588">
        <f>IF(ISNUMBER(INDEX(Database!$P$6:$P$202, MATCH($B77&amp;"USD bn", Database!$AD$6:$AD$202, 0))), INDEX(Database!$P$6:$P$202, MATCH($B77&amp;"USD bn", Database!$AD$6:$AD$202, 0)), "")</f>
        <v>4.9062115930205603E-2</v>
      </c>
      <c r="I77" s="567">
        <f>IF(ISNUMBER(INDEX(Database!$Q$6:$Q$202, MATCH($B77&amp;"USD bn", Database!$AD$6:$AD$202, 0))), INDEX(Database!$Q$6:$Q$202, MATCH($B77&amp;"USD bn", Database!$AD$6:$AD$202, 0)), "")</f>
        <v>4.9062115930205603E-2</v>
      </c>
      <c r="J77" s="567"/>
      <c r="K77" s="567" t="str">
        <f>IF(ISNUMBER(INDEX(Database!$U$6:$U$202, MATCH($B77&amp;"USD bn", Database!$AD$6:$AD$202, 0))), INDEX(Database!$U$6:$U$202, MATCH($B77&amp;"USD bn", Database!$AD$6:$AD$202, 0)), "")</f>
        <v/>
      </c>
      <c r="L77" s="567" t="str">
        <f>IF(ISNUMBER(INDEX(Database!$W$6:$W$202, MATCH($B77&amp;"USD bn", Database!$AD$6:$AD$202, 0))), INDEX(Database!$W$6:$W$202, MATCH($B77&amp;"USD bn", Database!$AD$6:$AD$202, 0)), "")</f>
        <v/>
      </c>
      <c r="O77" s="587">
        <f>IF(ISNUMBER(INDEX(Database!$G$6:$G$202, MATCH($B77&amp;"% GDP", Database!$AD$6:$AD$202, 0))), INDEX(Database!$G$6:$G$202, MATCH($B77&amp;"% GDP", Database!$AD$6:$AD$202, 0)), "")</f>
        <v>2.0034076510126715</v>
      </c>
      <c r="P77" s="564">
        <f>IF(ISNUMBER(INDEX(Database!$H$6:$H$202, MATCH($B77&amp;"% GDP", Database!$AD$6:$AD$202, 0))), INDEX(Database!$H$6:$H$202, MATCH($B77&amp;"% GDP", Database!$AD$6:$AD$202, 0)), "")</f>
        <v>0.28217009169192564</v>
      </c>
      <c r="Q77" s="564">
        <f>IF(ISNUMBER(INDEX(Database!$J$6:$J$202, MATCH($B77&amp;"% GDP", Database!$AD$6:$AD$202, 0))), INDEX(Database!$J$6:$J$202, MATCH($B77&amp;"% GDP", Database!$AD$6:$AD$202, 0)), "")</f>
        <v>1.7212375593207461</v>
      </c>
      <c r="R77" s="564" t="str">
        <f>IF(ISNUMBER(INDEX(Database!$L$6:$L$202, MATCH($B77&amp;"% GDP", Database!$AD$6:$AD$202, 0))), INDEX(Database!$L$6:$L$202, MATCH($B77&amp;"% GDP", Database!$AD$6:$AD$202, 0)), "")</f>
        <v/>
      </c>
      <c r="S77" s="564"/>
      <c r="T77" s="587">
        <f>IF(ISNUMBER(INDEX(Database!$P$6:$P$202, MATCH($B77&amp;"% GDP", Database!$AD$6:$AD$202, 0))), INDEX(Database!$P$6:$P$202, MATCH($B77&amp;"% GDP", Database!$AD$6:$AD$202, 0)), "")</f>
        <v>0.25395308252273302</v>
      </c>
      <c r="U77" s="564">
        <f>IF(ISNUMBER(INDEX(Database!$Q$6:$Q$202, MATCH($B77&amp;"% GDP", Database!$AD$6:$AD$202, 0))), INDEX(Database!$Q$6:$Q$202, MATCH($B77&amp;"% GDP", Database!$AD$6:$AD$202, 0)), "")</f>
        <v>0.25395308252273302</v>
      </c>
      <c r="V77" s="564"/>
      <c r="W77" s="564" t="str">
        <f>IF(ISNUMBER(INDEX(Database!$U$6:$U$202, MATCH($B77&amp;"% GDP", Database!$AD$6:$AD$202, 0))), INDEX(Database!$U$6:$U$202, MATCH($B77&amp;"% GDP", Database!$AD$6:$AD$202, 0)), "")</f>
        <v/>
      </c>
      <c r="X77" s="564" t="str">
        <f>IF(ISNUMBER(INDEX(Database!$W$6:$W$202, MATCH($B77&amp;"% GDP", Database!$AD$6:$AD$202, 0))), INDEX(Database!$W$6:$W$202, MATCH($B77&amp;"% GDP", Database!$AD$6:$AD$202, 0)), "")</f>
        <v/>
      </c>
    </row>
    <row r="78" spans="2:24" s="383" customFormat="1" ht="3.65" customHeight="1">
      <c r="B78" s="560"/>
    </row>
    <row r="79" spans="2:24">
      <c r="B79" s="566" t="s">
        <v>108</v>
      </c>
    </row>
    <row r="80" spans="2:24">
      <c r="B80" s="1245" t="s">
        <v>777</v>
      </c>
      <c r="C80" s="1245"/>
      <c r="D80" s="1245"/>
      <c r="E80" s="1245"/>
      <c r="F80" s="1245"/>
      <c r="G80" s="1245"/>
      <c r="H80" s="1245"/>
      <c r="I80" s="1245"/>
      <c r="J80" s="1245"/>
      <c r="K80" s="1245"/>
      <c r="L80" s="1245"/>
      <c r="M80" s="1245"/>
      <c r="N80" s="1245"/>
      <c r="O80" s="1245"/>
      <c r="P80" s="1245"/>
      <c r="Q80" s="1245"/>
      <c r="R80" s="1245"/>
      <c r="S80" s="1245"/>
      <c r="T80" s="1245"/>
      <c r="U80" s="1245"/>
      <c r="V80" s="1245"/>
      <c r="W80" s="1245"/>
    </row>
  </sheetData>
  <mergeCells count="15">
    <mergeCell ref="B80:W80"/>
    <mergeCell ref="K5:L5"/>
    <mergeCell ref="H4:L4"/>
    <mergeCell ref="I5:I6"/>
    <mergeCell ref="O5:Q5"/>
    <mergeCell ref="R5:R6"/>
    <mergeCell ref="C5:E5"/>
    <mergeCell ref="F5:F6"/>
    <mergeCell ref="O4:R4"/>
    <mergeCell ref="B3:L3"/>
    <mergeCell ref="N3:X3"/>
    <mergeCell ref="C4:F4"/>
    <mergeCell ref="T4:X4"/>
    <mergeCell ref="U5:U6"/>
    <mergeCell ref="W5:X5"/>
  </mergeCells>
  <pageMargins left="0.7" right="0.7" top="0.75" bottom="0.75" header="0.3" footer="0.3"/>
  <pageSetup scale="4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7EDE-FED2-4051-B36D-8CA8254F3B12}">
  <sheetPr>
    <pageSetUpPr fitToPage="1"/>
  </sheetPr>
  <dimension ref="A1:AB210"/>
  <sheetViews>
    <sheetView showGridLines="0" view="pageBreakPreview" zoomScaleNormal="100" zoomScaleSheetLayoutView="100" workbookViewId="0">
      <pane xSplit="2" ySplit="7" topLeftCell="C195" activePane="bottomRight" state="frozen"/>
      <selection pane="topRight" activeCell="C1" sqref="C1"/>
      <selection pane="bottomLeft" activeCell="A8" sqref="A8"/>
      <selection pane="bottomRight" activeCell="B202" sqref="B202"/>
    </sheetView>
  </sheetViews>
  <sheetFormatPr defaultColWidth="9.1796875" defaultRowHeight="12.5"/>
  <cols>
    <col min="1" max="1" width="3.453125" style="479" customWidth="1"/>
    <col min="2" max="2" width="26.54296875" style="352" customWidth="1"/>
    <col min="3" max="3" width="8" style="352" customWidth="1"/>
    <col min="4" max="4" width="6.453125" style="352" customWidth="1"/>
    <col min="5" max="5" width="7.81640625" style="352" bestFit="1" customWidth="1"/>
    <col min="6" max="6" width="9.81640625" style="352" customWidth="1"/>
    <col min="7" max="7" width="2.1796875" style="352" customWidth="1"/>
    <col min="8" max="8" width="8.1796875" style="352" customWidth="1"/>
    <col min="9" max="9" width="18.81640625" style="352" customWidth="1"/>
    <col min="10" max="10" width="1.81640625" style="352" customWidth="1"/>
    <col min="11" max="11" width="9.1796875" style="352" customWidth="1"/>
    <col min="12" max="12" width="8.54296875" style="352" bestFit="1" customWidth="1"/>
    <col min="13" max="13" width="2.1796875" style="352" customWidth="1"/>
    <col min="14" max="14" width="1.1796875" style="352" customWidth="1"/>
    <col min="15" max="15" width="6.81640625" style="352" customWidth="1"/>
    <col min="16" max="16" width="5.81640625" style="352" customWidth="1"/>
    <col min="17" max="17" width="7.81640625" style="352" bestFit="1" customWidth="1"/>
    <col min="18" max="18" width="9.81640625" style="352" customWidth="1"/>
    <col min="19" max="19" width="1.81640625" style="352" customWidth="1"/>
    <col min="20" max="20" width="6.81640625" style="352" customWidth="1"/>
    <col min="21" max="21" width="18.81640625" style="352" customWidth="1"/>
    <col min="22" max="22" width="1.54296875" style="352" customWidth="1"/>
    <col min="23" max="23" width="8.81640625" style="352" customWidth="1"/>
    <col min="24" max="24" width="9.81640625" style="352" customWidth="1"/>
    <col min="25" max="25" width="1.54296875" style="479" customWidth="1"/>
    <col min="26" max="27" width="9.1796875" style="479"/>
    <col min="28" max="28" width="26.54296875" style="479" customWidth="1"/>
    <col min="29" max="16384" width="9.1796875" style="479"/>
  </cols>
  <sheetData>
    <row r="1" spans="1:28" ht="15.75" customHeight="1">
      <c r="B1" s="816" t="s">
        <v>898</v>
      </c>
      <c r="I1" s="817"/>
      <c r="J1" s="817"/>
      <c r="K1" s="817"/>
      <c r="L1" s="817"/>
      <c r="AB1" s="557"/>
    </row>
    <row r="2" spans="1:28" ht="15.75" customHeight="1">
      <c r="B2" s="818" t="s">
        <v>774</v>
      </c>
      <c r="I2" s="817"/>
      <c r="J2" s="817"/>
      <c r="K2" s="817"/>
      <c r="L2" s="817"/>
      <c r="AB2" s="569"/>
    </row>
    <row r="3" spans="1:28" ht="15.75" customHeight="1">
      <c r="B3" s="1343" t="s">
        <v>437</v>
      </c>
      <c r="C3" s="1344"/>
      <c r="D3" s="1344"/>
      <c r="E3" s="1344"/>
      <c r="F3" s="1344"/>
      <c r="G3" s="1344"/>
      <c r="H3" s="1344"/>
      <c r="I3" s="1344"/>
      <c r="J3" s="1344"/>
      <c r="K3" s="1344"/>
      <c r="L3" s="1344"/>
      <c r="M3" s="819"/>
      <c r="N3" s="1343" t="s">
        <v>456</v>
      </c>
      <c r="O3" s="1344"/>
      <c r="P3" s="1344"/>
      <c r="Q3" s="1344"/>
      <c r="R3" s="1344"/>
      <c r="S3" s="1344"/>
      <c r="T3" s="1344"/>
      <c r="U3" s="1344"/>
      <c r="V3" s="1344"/>
      <c r="W3" s="1344"/>
      <c r="X3" s="1344"/>
    </row>
    <row r="4" spans="1:28" ht="11.15" customHeight="1">
      <c r="A4" s="559"/>
      <c r="B4" s="820"/>
      <c r="C4" s="1330" t="s">
        <v>586</v>
      </c>
      <c r="D4" s="1330"/>
      <c r="E4" s="1330"/>
      <c r="F4" s="1330"/>
      <c r="G4" s="821"/>
      <c r="H4" s="1341" t="s">
        <v>773</v>
      </c>
      <c r="I4" s="1341"/>
      <c r="J4" s="1341"/>
      <c r="K4" s="1341"/>
      <c r="L4" s="1341"/>
      <c r="M4" s="822"/>
      <c r="N4" s="823"/>
      <c r="O4" s="1330" t="s">
        <v>586</v>
      </c>
      <c r="P4" s="1330"/>
      <c r="Q4" s="1330"/>
      <c r="R4" s="1330"/>
      <c r="S4" s="821"/>
      <c r="T4" s="1341" t="s">
        <v>773</v>
      </c>
      <c r="U4" s="1341"/>
      <c r="V4" s="1341"/>
      <c r="W4" s="1341"/>
      <c r="X4" s="1341"/>
      <c r="AB4" s="571"/>
    </row>
    <row r="5" spans="1:28" ht="27" customHeight="1">
      <c r="A5" s="559"/>
      <c r="B5" s="820"/>
      <c r="C5" s="1341" t="s">
        <v>770</v>
      </c>
      <c r="D5" s="1341"/>
      <c r="E5" s="1341"/>
      <c r="F5" s="1342" t="s">
        <v>771</v>
      </c>
      <c r="G5" s="821"/>
      <c r="H5" s="824"/>
      <c r="I5" s="1338" t="s">
        <v>778</v>
      </c>
      <c r="J5" s="824"/>
      <c r="K5" s="1330" t="s">
        <v>211</v>
      </c>
      <c r="L5" s="1330"/>
      <c r="M5" s="822"/>
      <c r="N5" s="823"/>
      <c r="O5" s="1341" t="s">
        <v>770</v>
      </c>
      <c r="P5" s="1341"/>
      <c r="Q5" s="1341"/>
      <c r="R5" s="1342" t="s">
        <v>771</v>
      </c>
      <c r="S5" s="821"/>
      <c r="T5" s="824"/>
      <c r="U5" s="1338" t="s">
        <v>778</v>
      </c>
      <c r="V5" s="824"/>
      <c r="W5" s="1330" t="s">
        <v>211</v>
      </c>
      <c r="X5" s="1330"/>
      <c r="AB5" s="571"/>
    </row>
    <row r="6" spans="1:28" ht="29.5" customHeight="1">
      <c r="A6" s="559"/>
      <c r="B6" s="825"/>
      <c r="C6" s="577" t="s">
        <v>429</v>
      </c>
      <c r="D6" s="878" t="s">
        <v>769</v>
      </c>
      <c r="E6" s="878" t="s">
        <v>772</v>
      </c>
      <c r="F6" s="1335"/>
      <c r="G6" s="826"/>
      <c r="H6" s="580" t="s">
        <v>429</v>
      </c>
      <c r="I6" s="1337"/>
      <c r="J6" s="581"/>
      <c r="K6" s="581" t="s">
        <v>587</v>
      </c>
      <c r="L6" s="581" t="s">
        <v>588</v>
      </c>
      <c r="M6" s="827"/>
      <c r="N6" s="828"/>
      <c r="O6" s="577" t="s">
        <v>429</v>
      </c>
      <c r="P6" s="878" t="s">
        <v>769</v>
      </c>
      <c r="Q6" s="878" t="s">
        <v>772</v>
      </c>
      <c r="R6" s="1335"/>
      <c r="S6" s="826"/>
      <c r="T6" s="580" t="s">
        <v>429</v>
      </c>
      <c r="U6" s="1337"/>
      <c r="V6" s="581"/>
      <c r="W6" s="581" t="s">
        <v>587</v>
      </c>
      <c r="X6" s="878" t="s">
        <v>588</v>
      </c>
      <c r="AB6" s="576"/>
    </row>
    <row r="7" spans="1:28">
      <c r="A7" s="559"/>
      <c r="B7" s="829" t="s">
        <v>775</v>
      </c>
      <c r="C7" s="830"/>
      <c r="D7" s="830"/>
      <c r="E7" s="830"/>
      <c r="F7" s="830"/>
      <c r="G7" s="830"/>
      <c r="H7" s="830"/>
      <c r="I7" s="830"/>
      <c r="J7" s="830"/>
      <c r="K7" s="830"/>
      <c r="L7" s="830"/>
      <c r="AB7" s="561"/>
    </row>
    <row r="8" spans="1:28">
      <c r="A8" s="559"/>
      <c r="B8" s="764" t="s">
        <v>0</v>
      </c>
      <c r="C8" s="831">
        <f>IF(ISNUMBER(INDEX(Database!$G$6:$G$197, MATCH($B8&amp;"USD bn", Database!$AD$6:$AD$197, 0))), INDEX(Database!$G$6:$G$197, MATCH($B8&amp;"USD bn", Database!$AD$6:$AD$197, 0)), "")</f>
        <v>249.72579708899613</v>
      </c>
      <c r="D8" s="832">
        <f>IF(ISNUMBER(INDEX(Database!$H$6:$H$197, MATCH($B8&amp;"USD bn", Database!$AD$6:$AD$197, 0))), INDEX(Database!$H$6:$H$197, MATCH($B8&amp;"USD bn", Database!$AD$6:$AD$197, 0)), "")</f>
        <v>13.808448829914081</v>
      </c>
      <c r="E8" s="832">
        <f>IF(ISNUMBER(INDEX(Database!$J$6:$J$197, MATCH($B8&amp;"USD bn", Database!$AD$6:$AD$197, 0))), INDEX(Database!$J$6:$J$197, MATCH($B8&amp;"USD bn", Database!$AD$6:$AD$197, 0)), "")</f>
        <v>235.91734825908208</v>
      </c>
      <c r="F8" s="833" t="str">
        <f>IF(ISNUMBER(INDEX(Database!$L$6:$L$197, MATCH($B8&amp;"USD bn", Database!$AD$6:$AD$197, 0))), INDEX(Database!$L$6:$L$197, MATCH($B8&amp;"USD bn", Database!$AD$6:$AD$197, 0)), "")</f>
        <v/>
      </c>
      <c r="G8" s="832"/>
      <c r="H8" s="831">
        <f>IF(ISNUMBER(INDEX(Database!$P$6:$P$197, MATCH($B8&amp;"USD bn", Database!$AD$6:$AD$197, 0))), INDEX(Database!$P$6:$P$197, MATCH($B8&amp;"USD bn", Database!$AD$6:$AD$197, 0)), "")</f>
        <v>24.164785452349641</v>
      </c>
      <c r="I8" s="832">
        <f>IF(ISNUMBER(INDEX(Database!$Q$6:$Q$197, MATCH($B8&amp;"USD bn", Database!$AD$6:$AD$197, 0))), INDEX(Database!$Q$6:$Q$197, MATCH($B8&amp;"USD bn", Database!$AD$6:$AD$197, 0)), "")</f>
        <v>10.356336622435562</v>
      </c>
      <c r="J8" s="832"/>
      <c r="K8" s="832">
        <f>IF(ISNUMBER(INDEX(Database!$U$6:$U$197, MATCH($B8&amp;"USD bn", Database!$AD$6:$AD$197, 0))), INDEX(Database!$U$6:$U$197, MATCH($B8&amp;"USD bn", Database!$AD$6:$AD$197, 0)), "")</f>
        <v>13.808448829914079</v>
      </c>
      <c r="L8" s="832" t="str">
        <f>IF(ISNUMBER(INDEX(Database!$W$6:$W$197, MATCH($B8&amp;"USD bn", Database!$AD$6:$AD$197, 0))), INDEX(Database!$W$6:$W$197, MATCH($B8&amp;"USD bn", Database!$AD$6:$AD$197, 0)), "")</f>
        <v/>
      </c>
      <c r="M8" s="834"/>
      <c r="N8" s="834"/>
      <c r="O8" s="835">
        <f>IF(ISNUMBER(INDEX(Database!$G$6:$G$197, MATCH($B8&amp;"% GDP", Database!$AD$6:$AD$197, 0))), INDEX(Database!$G$6:$G$197, MATCH($B8&amp;"% GDP", Database!$AD$6:$AD$197, 0)), "")</f>
        <v>18.370673152863606</v>
      </c>
      <c r="P8" s="836">
        <f>IF(ISNUMBER(INDEX(Database!$H$6:$H$197, MATCH($B8&amp;"% GDP", Database!$AD$6:$AD$197, 0))), INDEX(Database!$H$6:$H$197, MATCH($B8&amp;"% GDP", Database!$AD$6:$AD$197, 0)), "")</f>
        <v>1.0157961378415044</v>
      </c>
      <c r="Q8" s="836">
        <f>IF(ISNUMBER(INDEX(Database!$J$6:$J$197, MATCH($B8&amp;"% GDP", Database!$AD$6:$AD$197, 0))), INDEX(Database!$J$6:$J$197, MATCH($B8&amp;"% GDP", Database!$AD$6:$AD$197, 0)), "")</f>
        <v>17.354877015022101</v>
      </c>
      <c r="R8" s="836" t="str">
        <f>IF(ISNUMBER(INDEX(Database!$L$6:$L$197, MATCH($B8&amp;"% GDP", Database!$AD$6:$AD$197, 0))), INDEX(Database!$L$6:$L$197, MATCH($B8&amp;"% GDP", Database!$AD$6:$AD$197, 0)), "")</f>
        <v/>
      </c>
      <c r="S8" s="836"/>
      <c r="T8" s="835">
        <f>IF(ISNUMBER(INDEX(Database!$P$6:$P$197, MATCH($B8&amp;"% GDP", Database!$AD$6:$AD$197, 0))), INDEX(Database!$P$6:$P$197, MATCH($B8&amp;"% GDP", Database!$AD$6:$AD$197, 0)), "")</f>
        <v>1.7776432412226328</v>
      </c>
      <c r="U8" s="836">
        <f>IF(ISNUMBER(INDEX(Database!$Q$6:$Q$197, MATCH($B8&amp;"% GDP", Database!$AD$6:$AD$197, 0))), INDEX(Database!$Q$6:$Q$197, MATCH($B8&amp;"% GDP", Database!$AD$6:$AD$197, 0)), "")</f>
        <v>0.76184710338112827</v>
      </c>
      <c r="V8" s="836"/>
      <c r="W8" s="836">
        <f>IF(ISNUMBER(INDEX(Database!$U$6:$U$197, MATCH($B8&amp;"% GDP", Database!$AD$6:$AD$197, 0))), INDEX(Database!$U$6:$U$197, MATCH($B8&amp;"% GDP", Database!$AD$6:$AD$197, 0)), "")</f>
        <v>1.0157961378415044</v>
      </c>
      <c r="X8" s="836" t="str">
        <f>IF(ISNUMBER(INDEX(Database!$W$6:$W$197, MATCH($B8&amp;"% GDP", Database!$AD$6:$AD$197, 0))), INDEX(Database!$W$6:$W$197, MATCH($B8&amp;"% GDP", Database!$AD$6:$AD$197, 0)), "")</f>
        <v/>
      </c>
      <c r="AB8" s="562"/>
    </row>
    <row r="9" spans="1:28">
      <c r="A9" s="559"/>
      <c r="B9" s="764" t="s">
        <v>1</v>
      </c>
      <c r="C9" s="831">
        <f>IF(ISNUMBER(INDEX(Database!$G$6:$G$197, MATCH($B9&amp;"USD bn", Database!$AD$6:$AD$197, 0))), INDEX(Database!$G$6:$G$197, MATCH($B9&amp;"USD bn", Database!$AD$6:$AD$197, 0)), "")</f>
        <v>261.78973301959445</v>
      </c>
      <c r="D9" s="832">
        <f>IF(ISNUMBER(INDEX(Database!$H$6:$H$197, MATCH($B9&amp;"USD bn", Database!$AD$6:$AD$197, 0))), INDEX(Database!$H$6:$H$197, MATCH($B9&amp;"USD bn", Database!$AD$6:$AD$197, 0)), "")</f>
        <v>45.632388666474455</v>
      </c>
      <c r="E9" s="832">
        <f>IF(ISNUMBER(INDEX(Database!$J$6:$J$197, MATCH($B9&amp;"USD bn", Database!$AD$6:$AD$197, 0))), INDEX(Database!$J$6:$J$197, MATCH($B9&amp;"USD bn", Database!$AD$6:$AD$197, 0)), "")</f>
        <v>216.15734435311998</v>
      </c>
      <c r="F9" s="833">
        <f>IF(ISNUMBER(INDEX(Database!$L$6:$L$197, MATCH($B9&amp;"USD bn", Database!$AD$6:$AD$197, 0))), INDEX(Database!$L$6:$L$197, MATCH($B9&amp;"USD bn", Database!$AD$6:$AD$197, 0)), "")</f>
        <v>68.027303732528338</v>
      </c>
      <c r="G9" s="832"/>
      <c r="H9" s="831">
        <f>IF(ISNUMBER(INDEX(Database!$P$6:$P$197, MATCH($B9&amp;"USD bn", Database!$AD$6:$AD$197, 0))), INDEX(Database!$P$6:$P$197, MATCH($B9&amp;"USD bn", Database!$AD$6:$AD$197, 0)), "")</f>
        <v>64.944134850488979</v>
      </c>
      <c r="I9" s="832">
        <f>IF(ISNUMBER(INDEX(Database!$Q$6:$Q$197, MATCH($B9&amp;"USD bn", Database!$AD$6:$AD$197, 0))), INDEX(Database!$Q$6:$Q$197, MATCH($B9&amp;"USD bn", Database!$AD$6:$AD$197, 0)), "")</f>
        <v>3.8772617821187447</v>
      </c>
      <c r="J9" s="832"/>
      <c r="K9" s="832">
        <f>IF(ISNUMBER(INDEX(Database!$U$6:$U$197, MATCH($B9&amp;"USD bn", Database!$AD$6:$AD$197, 0))), INDEX(Database!$U$6:$U$197, MATCH($B9&amp;"USD bn", Database!$AD$6:$AD$197, 0)), "")</f>
        <v>61.066873068370228</v>
      </c>
      <c r="L9" s="832" t="str">
        <f>IF(ISNUMBER(INDEX(Database!$W$6:$W$197, MATCH($B9&amp;"USD bn", Database!$AD$6:$AD$197, 0))), INDEX(Database!$W$6:$W$197, MATCH($B9&amp;"USD bn", Database!$AD$6:$AD$197, 0)), "")</f>
        <v/>
      </c>
      <c r="M9" s="834"/>
      <c r="N9" s="834"/>
      <c r="O9" s="835">
        <f>IF(ISNUMBER(INDEX(Database!$G$6:$G$197, MATCH($B9&amp;"% GDP", Database!$AD$6:$AD$197, 0))), INDEX(Database!$G$6:$G$197, MATCH($B9&amp;"% GDP", Database!$AD$6:$AD$197, 0)), "")</f>
        <v>15.923588544631171</v>
      </c>
      <c r="P9" s="836">
        <f>IF(ISNUMBER(INDEX(Database!$H$6:$H$197, MATCH($B9&amp;"% GDP", Database!$AD$6:$AD$197, 0))), INDEX(Database!$H$6:$H$197, MATCH($B9&amp;"% GDP", Database!$AD$6:$AD$197, 0)), "")</f>
        <v>2.77562978903853</v>
      </c>
      <c r="Q9" s="836">
        <f>IF(ISNUMBER(INDEX(Database!$J$6:$J$197, MATCH($B9&amp;"% GDP", Database!$AD$6:$AD$197, 0))), INDEX(Database!$J$6:$J$197, MATCH($B9&amp;"% GDP", Database!$AD$6:$AD$197, 0)), "")</f>
        <v>13.147958755592642</v>
      </c>
      <c r="R9" s="836">
        <f>IF(ISNUMBER(INDEX(Database!$L$6:$L$197, MATCH($B9&amp;"% GDP", Database!$AD$6:$AD$197, 0))), INDEX(Database!$L$6:$L$197, MATCH($B9&amp;"% GDP", Database!$AD$6:$AD$197, 0)), "")</f>
        <v>3.8595767164571715</v>
      </c>
      <c r="S9" s="836"/>
      <c r="T9" s="835">
        <f>IF(ISNUMBER(INDEX(Database!$P$6:$P$197, MATCH($B9&amp;"% GDP", Database!$AD$6:$AD$197, 0))), INDEX(Database!$P$6:$P$197, MATCH($B9&amp;"% GDP", Database!$AD$6:$AD$197, 0)), "")</f>
        <v>3.9502835723081042</v>
      </c>
      <c r="U9" s="836">
        <f>IF(ISNUMBER(INDEX(Database!$Q$6:$Q$197, MATCH($B9&amp;"% GDP", Database!$AD$6:$AD$197, 0))), INDEX(Database!$Q$6:$Q$197, MATCH($B9&amp;"% GDP", Database!$AD$6:$AD$197, 0)), "")</f>
        <v>0.23583782521242411</v>
      </c>
      <c r="V9" s="836"/>
      <c r="W9" s="836">
        <f>IF(ISNUMBER(INDEX(Database!$U$6:$U$197, MATCH($B9&amp;"% GDP", Database!$AD$6:$AD$197, 0))), INDEX(Database!$U$6:$U$197, MATCH($B9&amp;"% GDP", Database!$AD$6:$AD$197, 0)), "")</f>
        <v>3.71444574709568</v>
      </c>
      <c r="X9" s="836" t="str">
        <f>IF(ISNUMBER(INDEX(Database!$W$6:$W$197, MATCH($B9&amp;"% GDP", Database!$AD$6:$AD$197, 0))), INDEX(Database!$W$6:$W$197, MATCH($B9&amp;"% GDP", Database!$AD$6:$AD$197, 0)), "")</f>
        <v/>
      </c>
      <c r="AB9" s="562"/>
    </row>
    <row r="10" spans="1:28">
      <c r="A10" s="559"/>
      <c r="B10" s="764" t="s">
        <v>430</v>
      </c>
      <c r="C10" s="831">
        <f>IF(ISNUMBER(INDEX(Database!$G$6:$G$197, MATCH($B10&amp;"USD bn", Database!$AD$6:$AD$197, 0))), INDEX(Database!$G$6:$G$197, MATCH($B10&amp;"USD bn", Database!$AD$6:$AD$197, 0)), "")</f>
        <v>488.29744352478542</v>
      </c>
      <c r="D10" s="832">
        <f>IF(ISNUMBER(INDEX(Database!$H$6:$H$197, MATCH($B10&amp;"USD bn", Database!$AD$6:$AD$197, 0))), INDEX(Database!$H$6:$H$197, MATCH($B10&amp;"USD bn", Database!$AD$6:$AD$197, 0)), "")</f>
        <v>5.706409296772063E-2</v>
      </c>
      <c r="E10" s="832">
        <f>IF(ISNUMBER(INDEX(Database!$J$6:$J$197, MATCH($B10&amp;"USD bn", Database!$AD$6:$AD$197, 0))), INDEX(Database!$J$6:$J$197, MATCH($B10&amp;"USD bn", Database!$AD$6:$AD$197, 0)), "")</f>
        <v>488.2403794318177</v>
      </c>
      <c r="F10" s="833" t="str">
        <f>IF(ISNUMBER(INDEX(Database!$L$6:$L$197, MATCH($B10&amp;"USD bn", Database!$AD$6:$AD$197, 0))), INDEX(Database!$L$6:$L$197, MATCH($B10&amp;"USD bn", Database!$AD$6:$AD$197, 0)), "")</f>
        <v/>
      </c>
      <c r="G10" s="832"/>
      <c r="H10" s="831">
        <f>IF(ISNUMBER(INDEX(Database!$P$6:$P$197, MATCH($B10&amp;"USD bn", Database!$AD$6:$AD$197, 0))), INDEX(Database!$P$6:$P$197, MATCH($B10&amp;"USD bn", Database!$AD$6:$AD$197, 0)), "")</f>
        <v>873.0806224061256</v>
      </c>
      <c r="I10" s="832">
        <f>IF(ISNUMBER(INDEX(Database!$Q$6:$Q$197, MATCH($B10&amp;"USD bn", Database!$AD$6:$AD$197, 0))), INDEX(Database!$Q$6:$Q$197, MATCH($B10&amp;"USD bn", Database!$AD$6:$AD$197, 0)), "")</f>
        <v>798.89730154808876</v>
      </c>
      <c r="J10" s="832"/>
      <c r="K10" s="832">
        <f>IF(ISNUMBER(INDEX(Database!$U$6:$U$197, MATCH($B10&amp;"USD bn", Database!$AD$6:$AD$197, 0))), INDEX(Database!$U$6:$U$197, MATCH($B10&amp;"USD bn", Database!$AD$6:$AD$197, 0)), "")</f>
        <v>74.183320858036808</v>
      </c>
      <c r="L10" s="832" t="str">
        <f>IF(ISNUMBER(INDEX(Database!$W$6:$W$197, MATCH($B10&amp;"USD bn", Database!$AD$6:$AD$197, 0))), INDEX(Database!$W$6:$W$197, MATCH($B10&amp;"USD bn", Database!$AD$6:$AD$197, 0)), "")</f>
        <v/>
      </c>
      <c r="M10" s="834"/>
      <c r="N10" s="834"/>
      <c r="O10" s="835">
        <f>IF(ISNUMBER(INDEX(Database!$G$6:$G$197, MATCH($B10&amp;"% GDP", Database!$AD$6:$AD$197, 0))), INDEX(Database!$G$6:$G$197, MATCH($B10&amp;"% GDP", Database!$AD$6:$AD$197, 0)), "")</f>
        <v>3.7559632555567588</v>
      </c>
      <c r="P10" s="836">
        <f>IF(ISNUMBER(INDEX(Database!$H$6:$H$197, MATCH($B10&amp;"% GDP", Database!$AD$6:$AD$197, 0))), INDEX(Database!$H$6:$H$197, MATCH($B10&amp;"% GDP", Database!$AD$6:$AD$197, 0)), "")</f>
        <v>4.3893458636867576E-4</v>
      </c>
      <c r="Q10" s="836">
        <f>IF(ISNUMBER(INDEX(Database!$J$6:$J$197, MATCH($B10&amp;"% GDP", Database!$AD$6:$AD$197, 0))), INDEX(Database!$J$6:$J$197, MATCH($B10&amp;"% GDP", Database!$AD$6:$AD$197, 0)), "")</f>
        <v>3.7555243209703901</v>
      </c>
      <c r="R10" s="836" t="str">
        <f>IF(ISNUMBER(INDEX(Database!$L$6:$L$197, MATCH($B10&amp;"% GDP", Database!$AD$6:$AD$197, 0))), INDEX(Database!$L$6:$L$197, MATCH($B10&amp;"% GDP", Database!$AD$6:$AD$197, 0)), "")</f>
        <v/>
      </c>
      <c r="S10" s="836"/>
      <c r="T10" s="835">
        <f>IF(ISNUMBER(INDEX(Database!$P$6:$P$197, MATCH($B10&amp;"% GDP", Database!$AD$6:$AD$197, 0))), INDEX(Database!$P$6:$P$197, MATCH($B10&amp;"% GDP", Database!$AD$6:$AD$197, 0)), "")</f>
        <v>6.7156991714407397</v>
      </c>
      <c r="U10" s="836">
        <f>IF(ISNUMBER(INDEX(Database!$Q$6:$Q$197, MATCH($B10&amp;"% GDP", Database!$AD$6:$AD$197, 0))), INDEX(Database!$Q$6:$Q$197, MATCH($B10&amp;"% GDP", Database!$AD$6:$AD$197, 0)), "")</f>
        <v>6.1450842091614613</v>
      </c>
      <c r="V10" s="836"/>
      <c r="W10" s="836">
        <f>IF(ISNUMBER(INDEX(Database!$U$6:$U$197, MATCH($B10&amp;"% GDP", Database!$AD$6:$AD$197, 0))), INDEX(Database!$U$6:$U$197, MATCH($B10&amp;"% GDP", Database!$AD$6:$AD$197, 0)), "")</f>
        <v>0.57061496227927855</v>
      </c>
      <c r="X10" s="836" t="str">
        <f>IF(ISNUMBER(INDEX(Database!$W$6:$W$197, MATCH($B10&amp;"% GDP", Database!$AD$6:$AD$197, 0))), INDEX(Database!$W$6:$W$197, MATCH($B10&amp;"% GDP", Database!$AD$6:$AD$197, 0)), "")</f>
        <v/>
      </c>
      <c r="AB10" s="562"/>
    </row>
    <row r="11" spans="1:28">
      <c r="A11" s="559"/>
      <c r="B11" s="764" t="s">
        <v>2</v>
      </c>
      <c r="C11" s="831">
        <f>IF(ISNUMBER(INDEX(Database!$G$6:$G$197, MATCH($B11&amp;"USD bn", Database!$AD$6:$AD$197, 0))), INDEX(Database!$G$6:$G$197, MATCH($B11&amp;"USD bn", Database!$AD$6:$AD$197, 0)), "")</f>
        <v>252.88463784604201</v>
      </c>
      <c r="D11" s="832">
        <f>IF(ISNUMBER(INDEX(Database!$H$6:$H$197, MATCH($B11&amp;"USD bn", Database!$AD$6:$AD$197, 0))), INDEX(Database!$H$6:$H$197, MATCH($B11&amp;"USD bn", Database!$AD$6:$AD$197, 0)), "")</f>
        <v>38.633570180174964</v>
      </c>
      <c r="E11" s="832">
        <f>IF(ISNUMBER(INDEX(Database!$J$6:$J$197, MATCH($B11&amp;"USD bn", Database!$AD$6:$AD$197, 0))), INDEX(Database!$J$6:$J$197, MATCH($B11&amp;"USD bn", Database!$AD$6:$AD$197, 0)), "")</f>
        <v>214.25106766586705</v>
      </c>
      <c r="F11" s="833">
        <f>IF(ISNUMBER(INDEX(Database!$L$6:$L$197, MATCH($B11&amp;"USD bn", Database!$AD$6:$AD$197, 0))), INDEX(Database!$L$6:$L$197, MATCH($B11&amp;"USD bn", Database!$AD$6:$AD$197, 0)), "")</f>
        <v>79.204517036051911</v>
      </c>
      <c r="G11" s="832"/>
      <c r="H11" s="831">
        <f>IF(ISNUMBER(INDEX(Database!$P$6:$P$197, MATCH($B11&amp;"USD bn", Database!$AD$6:$AD$197, 0))), INDEX(Database!$P$6:$P$197, MATCH($B11&amp;"USD bn", Database!$AD$6:$AD$197, 0)), "")</f>
        <v>399.21355852847461</v>
      </c>
      <c r="I11" s="832">
        <f>IF(ISNUMBER(INDEX(Database!$Q$6:$Q$197, MATCH($B11&amp;"USD bn", Database!$AD$6:$AD$197, 0))), INDEX(Database!$Q$6:$Q$197, MATCH($B11&amp;"USD bn", Database!$AD$6:$AD$197, 0)), "")</f>
        <v>18.006206750642018</v>
      </c>
      <c r="J11" s="832"/>
      <c r="K11" s="832">
        <f>IF(ISNUMBER(INDEX(Database!$U$6:$U$197, MATCH($B11&amp;"USD bn", Database!$AD$6:$AD$197, 0))), INDEX(Database!$U$6:$U$197, MATCH($B11&amp;"USD bn", Database!$AD$6:$AD$197, 0)), "")</f>
        <v>381.20735177783257</v>
      </c>
      <c r="L11" s="832" t="str">
        <f>IF(ISNUMBER(INDEX(Database!$W$6:$W$197, MATCH($B11&amp;"USD bn", Database!$AD$6:$AD$197, 0))), INDEX(Database!$W$6:$W$197, MATCH($B11&amp;"USD bn", Database!$AD$6:$AD$197, 0)), "")</f>
        <v/>
      </c>
      <c r="M11" s="834"/>
      <c r="N11" s="834"/>
      <c r="O11" s="835">
        <f>IF(ISNUMBER(INDEX(Database!$G$6:$G$197, MATCH($B11&amp;"% GDP", Database!$AD$6:$AD$197, 0))), INDEX(Database!$G$6:$G$197, MATCH($B11&amp;"% GDP", Database!$AD$6:$AD$197, 0)), "")</f>
        <v>9.6358441242628725</v>
      </c>
      <c r="P11" s="836">
        <f>IF(ISNUMBER(INDEX(Database!$H$6:$H$197, MATCH($B11&amp;"% GDP", Database!$AD$6:$AD$197, 0))), INDEX(Database!$H$6:$H$197, MATCH($B11&amp;"% GDP", Database!$AD$6:$AD$197, 0)), "")</f>
        <v>1.4720825408405198</v>
      </c>
      <c r="Q11" s="836">
        <f>IF(ISNUMBER(INDEX(Database!$J$6:$J$197, MATCH($B11&amp;"% GDP", Database!$AD$6:$AD$197, 0))), INDEX(Database!$J$6:$J$197, MATCH($B11&amp;"% GDP", Database!$AD$6:$AD$197, 0)), "")</f>
        <v>8.1637615834223514</v>
      </c>
      <c r="R11" s="836">
        <f>IF(ISNUMBER(INDEX(Database!$L$6:$L$197, MATCH($B11&amp;"% GDP", Database!$AD$6:$AD$197, 0))), INDEX(Database!$L$6:$L$197, MATCH($B11&amp;"% GDP", Database!$AD$6:$AD$197, 0)), "")</f>
        <v>3.017986330041774</v>
      </c>
      <c r="S11" s="836"/>
      <c r="T11" s="835">
        <f>IF(ISNUMBER(INDEX(Database!$P$6:$P$197, MATCH($B11&amp;"% GDP", Database!$AD$6:$AD$197, 0))), INDEX(Database!$P$6:$P$197, MATCH($B11&amp;"% GDP", Database!$AD$6:$AD$197, 0)), "")</f>
        <v>15.211519588685375</v>
      </c>
      <c r="U11" s="836">
        <f>IF(ISNUMBER(INDEX(Database!$Q$6:$Q$197, MATCH($B11&amp;"% GDP", Database!$AD$6:$AD$197, 0))), INDEX(Database!$Q$6:$Q$197, MATCH($B11&amp;"% GDP", Database!$AD$6:$AD$197, 0)), "")</f>
        <v>0.68610336711741049</v>
      </c>
      <c r="V11" s="836"/>
      <c r="W11" s="836">
        <f>IF(ISNUMBER(INDEX(Database!$U$6:$U$197, MATCH($B11&amp;"% GDP", Database!$AD$6:$AD$197, 0))), INDEX(Database!$U$6:$U$197, MATCH($B11&amp;"% GDP", Database!$AD$6:$AD$197, 0)), "")</f>
        <v>14.525416221567964</v>
      </c>
      <c r="X11" s="836" t="str">
        <f>IF(ISNUMBER(INDEX(Database!$W$6:$W$197, MATCH($B11&amp;"% GDP", Database!$AD$6:$AD$197, 0))), INDEX(Database!$W$6:$W$197, MATCH($B11&amp;"% GDP", Database!$AD$6:$AD$197, 0)), "")</f>
        <v/>
      </c>
      <c r="AB11" s="562"/>
    </row>
    <row r="12" spans="1:28">
      <c r="A12" s="559"/>
      <c r="B12" s="764" t="s">
        <v>3</v>
      </c>
      <c r="C12" s="831">
        <f>IF(ISNUMBER(INDEX(Database!$G$6:$G$197, MATCH($B12&amp;"USD bn", Database!$AD$6:$AD$197, 0))), INDEX(Database!$G$6:$G$197, MATCH($B12&amp;"USD bn", Database!$AD$6:$AD$197, 0)), "")</f>
        <v>588.90143942687689</v>
      </c>
      <c r="D12" s="832">
        <f>IF(ISNUMBER(INDEX(Database!$H$6:$H$197, MATCH($B12&amp;"USD bn", Database!$AD$6:$AD$197, 0))), INDEX(Database!$H$6:$H$197, MATCH($B12&amp;"USD bn", Database!$AD$6:$AD$197, 0)), "")</f>
        <v>69.618193420619164</v>
      </c>
      <c r="E12" s="832">
        <f>IF(ISNUMBER(INDEX(Database!$J$6:$J$197, MATCH($B12&amp;"USD bn", Database!$AD$6:$AD$197, 0))), INDEX(Database!$J$6:$J$197, MATCH($B12&amp;"USD bn", Database!$AD$6:$AD$197, 0)), "")</f>
        <v>519.28324600625774</v>
      </c>
      <c r="F12" s="833" t="str">
        <f>IF(ISNUMBER(INDEX(Database!$L$6:$L$197, MATCH($B12&amp;"USD bn", Database!$AD$6:$AD$197, 0))), INDEX(Database!$L$6:$L$197, MATCH($B12&amp;"USD bn", Database!$AD$6:$AD$197, 0)), "")</f>
        <v/>
      </c>
      <c r="G12" s="832"/>
      <c r="H12" s="831">
        <f>IF(ISNUMBER(INDEX(Database!$P$6:$P$197, MATCH($B12&amp;"USD bn", Database!$AD$6:$AD$197, 0))), INDEX(Database!$P$6:$P$197, MATCH($B12&amp;"USD bn", Database!$AD$6:$AD$197, 0)), "")</f>
        <v>1057.9682836215404</v>
      </c>
      <c r="I12" s="832">
        <f>IF(ISNUMBER(INDEX(Database!$Q$6:$Q$197, MATCH($B12&amp;"USD bn", Database!$AD$6:$AD$197, 0))), INDEX(Database!$Q$6:$Q$197, MATCH($B12&amp;"USD bn", Database!$AD$6:$AD$197, 0)), "")</f>
        <v>114.12818593544125</v>
      </c>
      <c r="J12" s="832"/>
      <c r="K12" s="832">
        <f>IF(ISNUMBER(INDEX(Database!$U$6:$U$197, MATCH($B12&amp;"USD bn", Database!$AD$6:$AD$197, 0))), INDEX(Database!$U$6:$U$197, MATCH($B12&amp;"USD bn", Database!$AD$6:$AD$197, 0)), "")</f>
        <v>943.84009768609917</v>
      </c>
      <c r="L12" s="832" t="str">
        <f>IF(ISNUMBER(INDEX(Database!$W$6:$W$197, MATCH($B12&amp;"USD bn", Database!$AD$6:$AD$197, 0))), INDEX(Database!$W$6:$W$197, MATCH($B12&amp;"USD bn", Database!$AD$6:$AD$197, 0)), "")</f>
        <v/>
      </c>
      <c r="M12" s="834"/>
      <c r="N12" s="834"/>
      <c r="O12" s="835">
        <f>IF(ISNUMBER(INDEX(Database!$G$6:$G$197, MATCH($B12&amp;"% GDP", Database!$AD$6:$AD$197, 0))), INDEX(Database!$G$6:$G$197, MATCH($B12&amp;"% GDP", Database!$AD$6:$AD$197, 0)), "")</f>
        <v>15.322666856715248</v>
      </c>
      <c r="P12" s="836">
        <f>IF(ISNUMBER(INDEX(Database!$H$6:$H$197, MATCH($B12&amp;"% GDP", Database!$AD$6:$AD$197, 0))), INDEX(Database!$H$6:$H$197, MATCH($B12&amp;"% GDP", Database!$AD$6:$AD$197, 0)), "")</f>
        <v>1.8114005392628492</v>
      </c>
      <c r="Q12" s="836">
        <f>IF(ISNUMBER(INDEX(Database!$J$6:$J$197, MATCH($B12&amp;"% GDP", Database!$AD$6:$AD$197, 0))), INDEX(Database!$J$6:$J$197, MATCH($B12&amp;"% GDP", Database!$AD$6:$AD$197, 0)), "")</f>
        <v>13.638352846668944</v>
      </c>
      <c r="R12" s="836" t="str">
        <f>IF(ISNUMBER(INDEX(Database!$L$6:$L$197, MATCH($B12&amp;"% GDP", Database!$AD$6:$AD$197, 0))), INDEX(Database!$L$6:$L$197, MATCH($B12&amp;"% GDP", Database!$AD$6:$AD$197, 0)), "")</f>
        <v/>
      </c>
      <c r="S12" s="836"/>
      <c r="T12" s="835">
        <f>IF(ISNUMBER(INDEX(Database!$P$6:$P$197, MATCH($B12&amp;"% GDP", Database!$AD$6:$AD$197, 0))), INDEX(Database!$P$6:$P$197, MATCH($B12&amp;"% GDP", Database!$AD$6:$AD$197, 0)), "")</f>
        <v>27.786270524971673</v>
      </c>
      <c r="U12" s="836">
        <f>IF(ISNUMBER(INDEX(Database!$Q$6:$Q$197, MATCH($B12&amp;"% GDP", Database!$AD$6:$AD$197, 0))), INDEX(Database!$Q$6:$Q$197, MATCH($B12&amp;"% GDP", Database!$AD$6:$AD$197, 0)), "")</f>
        <v>2.9974401860810866</v>
      </c>
      <c r="V12" s="836"/>
      <c r="W12" s="836">
        <f>IF(ISNUMBER(INDEX(Database!$U$6:$U$197, MATCH($B12&amp;"% GDP", Database!$AD$6:$AD$197, 0))), INDEX(Database!$U$6:$U$197, MATCH($B12&amp;"% GDP", Database!$AD$6:$AD$197, 0)), "")</f>
        <v>24.788830338890588</v>
      </c>
      <c r="X12" s="836" t="str">
        <f>IF(ISNUMBER(INDEX(Database!$W$6:$W$197, MATCH($B12&amp;"% GDP", Database!$AD$6:$AD$197, 0))), INDEX(Database!$W$6:$W$197, MATCH($B12&amp;"% GDP", Database!$AD$6:$AD$197, 0)), "")</f>
        <v/>
      </c>
      <c r="AB12" s="562"/>
    </row>
    <row r="13" spans="1:28">
      <c r="A13" s="559"/>
      <c r="B13" s="764" t="s">
        <v>4</v>
      </c>
      <c r="C13" s="831">
        <f>IF(ISNUMBER(INDEX(Database!$G$6:$G$197, MATCH($B13&amp;"USD bn", Database!$AD$6:$AD$197, 0))), INDEX(Database!$G$6:$G$197, MATCH($B13&amp;"USD bn", Database!$AD$6:$AD$197, 0)), "")</f>
        <v>205.43073468379424</v>
      </c>
      <c r="D13" s="832">
        <f>IF(ISNUMBER(INDEX(Database!$H$6:$H$197, MATCH($B13&amp;"USD bn", Database!$AD$6:$AD$197, 0))), INDEX(Database!$H$6:$H$197, MATCH($B13&amp;"USD bn", Database!$AD$6:$AD$197, 0)), "")</f>
        <v>22.825637187088251</v>
      </c>
      <c r="E13" s="832">
        <f>IF(ISNUMBER(INDEX(Database!$J$6:$J$197, MATCH($B13&amp;"USD bn", Database!$AD$6:$AD$197, 0))), INDEX(Database!$J$6:$J$197, MATCH($B13&amp;"USD bn", Database!$AD$6:$AD$197, 0)), "")</f>
        <v>182.60509749670601</v>
      </c>
      <c r="F13" s="833">
        <f>IF(ISNUMBER(INDEX(Database!$L$6:$L$197, MATCH($B13&amp;"USD bn", Database!$AD$6:$AD$197, 0))), INDEX(Database!$L$6:$L$197, MATCH($B13&amp;"USD bn", Database!$AD$6:$AD$197, 0)), "")</f>
        <v>7.9889730154808873</v>
      </c>
      <c r="G13" s="832"/>
      <c r="H13" s="831">
        <f>IF(ISNUMBER(INDEX(Database!$P$6:$P$197, MATCH($B13&amp;"USD bn", Database!$AD$6:$AD$197, 0))), INDEX(Database!$P$6:$P$197, MATCH($B13&amp;"USD bn", Database!$AD$6:$AD$197, 0)), "")</f>
        <v>664.51136260910664</v>
      </c>
      <c r="I13" s="832">
        <f>IF(ISNUMBER(INDEX(Database!$Q$6:$Q$197, MATCH($B13&amp;"USD bn", Database!$AD$6:$AD$197, 0))), INDEX(Database!$Q$6:$Q$197, MATCH($B13&amp;"USD bn", Database!$AD$6:$AD$197, 0)), "")</f>
        <v>3.7091660429018405</v>
      </c>
      <c r="J13" s="832"/>
      <c r="K13" s="832">
        <f>IF(ISNUMBER(INDEX(Database!$U$6:$U$197, MATCH($B13&amp;"USD bn", Database!$AD$6:$AD$197, 0))), INDEX(Database!$U$6:$U$197, MATCH($B13&amp;"USD bn", Database!$AD$6:$AD$197, 0)), "")</f>
        <v>660.80219656620488</v>
      </c>
      <c r="L13" s="832" t="str">
        <f>IF(ISNUMBER(INDEX(Database!$W$6:$W$197, MATCH($B13&amp;"USD bn", Database!$AD$6:$AD$197, 0))), INDEX(Database!$W$6:$W$197, MATCH($B13&amp;"USD bn", Database!$AD$6:$AD$197, 0)), "")</f>
        <v/>
      </c>
      <c r="M13" s="834"/>
      <c r="N13" s="834"/>
      <c r="O13" s="835">
        <f>IF(ISNUMBER(INDEX(Database!$G$6:$G$197, MATCH($B13&amp;"% GDP", Database!$AD$6:$AD$197, 0))), INDEX(Database!$G$6:$G$197, MATCH($B13&amp;"% GDP", Database!$AD$6:$AD$197, 0)), "")</f>
        <v>10.898555638640223</v>
      </c>
      <c r="P13" s="836">
        <f>IF(ISNUMBER(INDEX(Database!$H$6:$H$197, MATCH($B13&amp;"% GDP", Database!$AD$6:$AD$197, 0))), INDEX(Database!$H$6:$H$197, MATCH($B13&amp;"% GDP", Database!$AD$6:$AD$197, 0)), "")</f>
        <v>1.2109506265155805</v>
      </c>
      <c r="Q13" s="836">
        <f>IF(ISNUMBER(INDEX(Database!$J$6:$J$197, MATCH($B13&amp;"% GDP", Database!$AD$6:$AD$197, 0))), INDEX(Database!$J$6:$J$197, MATCH($B13&amp;"% GDP", Database!$AD$6:$AD$197, 0)), "")</f>
        <v>9.687605012124644</v>
      </c>
      <c r="R13" s="836">
        <f>IF(ISNUMBER(INDEX(Database!$L$6:$L$197, MATCH($B13&amp;"% GDP", Database!$AD$6:$AD$197, 0))), INDEX(Database!$L$6:$L$197, MATCH($B13&amp;"% GDP", Database!$AD$6:$AD$197, 0)), "")</f>
        <v>0.42383271928045313</v>
      </c>
      <c r="S13" s="836"/>
      <c r="T13" s="835">
        <f>IF(ISNUMBER(INDEX(Database!$P$6:$P$197, MATCH($B13&amp;"% GDP", Database!$AD$6:$AD$197, 0))), INDEX(Database!$P$6:$P$197, MATCH($B13&amp;"% GDP", Database!$AD$6:$AD$197, 0)), "")</f>
        <v>35.253800114434839</v>
      </c>
      <c r="U13" s="836">
        <f>IF(ISNUMBER(INDEX(Database!$Q$6:$Q$197, MATCH($B13&amp;"% GDP", Database!$AD$6:$AD$197, 0))), INDEX(Database!$Q$6:$Q$197, MATCH($B13&amp;"% GDP", Database!$AD$6:$AD$197, 0)), "")</f>
        <v>0.19677947680878183</v>
      </c>
      <c r="V13" s="836"/>
      <c r="W13" s="836">
        <f>IF(ISNUMBER(INDEX(Database!$U$6:$U$197, MATCH($B13&amp;"% GDP", Database!$AD$6:$AD$197, 0))), INDEX(Database!$U$6:$U$197, MATCH($B13&amp;"% GDP", Database!$AD$6:$AD$197, 0)), "")</f>
        <v>35.057020637626053</v>
      </c>
      <c r="X13" s="836" t="str">
        <f>IF(ISNUMBER(INDEX(Database!$W$6:$W$197, MATCH($B13&amp;"% GDP", Database!$AD$6:$AD$197, 0))), INDEX(Database!$W$6:$W$197, MATCH($B13&amp;"% GDP", Database!$AD$6:$AD$197, 0)), "")</f>
        <v/>
      </c>
      <c r="AB13" s="562"/>
    </row>
    <row r="14" spans="1:28">
      <c r="A14" s="559"/>
      <c r="B14" s="764" t="s">
        <v>5</v>
      </c>
      <c r="C14" s="831">
        <f>IF(ISNUMBER(INDEX(Database!$G$6:$G$197, MATCH($B14&amp;"USD bn", Database!$AD$6:$AD$197, 0))), INDEX(Database!$G$6:$G$197, MATCH($B14&amp;"USD bn", Database!$AD$6:$AD$197, 0)), "")</f>
        <v>843.8337860086101</v>
      </c>
      <c r="D14" s="832">
        <f>IF(ISNUMBER(INDEX(Database!$H$6:$H$197, MATCH($B14&amp;"USD bn", Database!$AD$6:$AD$197, 0))), INDEX(Database!$H$6:$H$197, MATCH($B14&amp;"USD bn", Database!$AD$6:$AD$197, 0)), "")</f>
        <v>104.89387795001592</v>
      </c>
      <c r="E14" s="832">
        <f>IF(ISNUMBER(INDEX(Database!$J$6:$J$197, MATCH($B14&amp;"USD bn", Database!$AD$6:$AD$197, 0))), INDEX(Database!$J$6:$J$197, MATCH($B14&amp;"USD bn", Database!$AD$6:$AD$197, 0)), "")</f>
        <v>738.93990805859426</v>
      </c>
      <c r="F14" s="833">
        <f>IF(ISNUMBER(INDEX(Database!$L$6:$L$197, MATCH($B14&amp;"USD bn", Database!$AD$6:$AD$197, 0))), INDEX(Database!$L$6:$L$197, MATCH($B14&amp;"USD bn", Database!$AD$6:$AD$197, 0)), "")</f>
        <v>27.16002196920055</v>
      </c>
      <c r="G14" s="832"/>
      <c r="H14" s="831">
        <f>IF(ISNUMBER(INDEX(Database!$P$6:$P$197, MATCH($B14&amp;"USD bn", Database!$AD$6:$AD$197, 0))), INDEX(Database!$P$6:$P$197, MATCH($B14&amp;"USD bn", Database!$AD$6:$AD$197, 0)), "")</f>
        <v>1429.1790870689667</v>
      </c>
      <c r="I14" s="832" t="str">
        <f>IF(ISNUMBER(INDEX(Database!$Q$6:$Q$197, MATCH($B14&amp;"USD bn", Database!$AD$6:$AD$197, 0))), INDEX(Database!$Q$6:$Q$197, MATCH($B14&amp;"USD bn", Database!$AD$6:$AD$197, 0)), "")</f>
        <v/>
      </c>
      <c r="J14" s="832"/>
      <c r="K14" s="832">
        <f>IF(ISNUMBER(INDEX(Database!$U$6:$U$197, MATCH($B14&amp;"USD bn", Database!$AD$6:$AD$197, 0))), INDEX(Database!$U$6:$U$197, MATCH($B14&amp;"USD bn", Database!$AD$6:$AD$197, 0)), "")</f>
        <v>147.0387396263616</v>
      </c>
      <c r="L14" s="832">
        <f>IF(ISNUMBER(INDEX(Database!$W$6:$W$197, MATCH($B14&amp;"USD bn", Database!$AD$6:$AD$197, 0))), INDEX(Database!$W$6:$W$197, MATCH($B14&amp;"USD bn", Database!$AD$6:$AD$197, 0)), "")</f>
        <v>1282.1403474426052</v>
      </c>
      <c r="M14" s="834"/>
      <c r="N14" s="834"/>
      <c r="O14" s="835">
        <f>IF(ISNUMBER(INDEX(Database!$G$6:$G$197, MATCH($B14&amp;"% GDP", Database!$AD$6:$AD$197, 0))), INDEX(Database!$G$6:$G$197, MATCH($B14&amp;"% GDP", Database!$AD$6:$AD$197, 0)), "")</f>
        <v>16.725807215115971</v>
      </c>
      <c r="P14" s="836">
        <f>IF(ISNUMBER(INDEX(Database!$H$6:$H$197, MATCH($B14&amp;"% GDP", Database!$AD$6:$AD$197, 0))), INDEX(Database!$H$6:$H$197, MATCH($B14&amp;"% GDP", Database!$AD$6:$AD$197, 0)), "")</f>
        <v>2.0791236493817857</v>
      </c>
      <c r="Q14" s="836">
        <f>IF(ISNUMBER(INDEX(Database!$J$6:$J$197, MATCH($B14&amp;"% GDP", Database!$AD$6:$AD$197, 0))), INDEX(Database!$J$6:$J$197, MATCH($B14&amp;"% GDP", Database!$AD$6:$AD$197, 0)), "")</f>
        <v>14.646683565734186</v>
      </c>
      <c r="R14" s="836">
        <f>IF(ISNUMBER(INDEX(Database!$L$6:$L$197, MATCH($B14&amp;"% GDP", Database!$AD$6:$AD$197, 0))), INDEX(Database!$L$6:$L$197, MATCH($B14&amp;"% GDP", Database!$AD$6:$AD$197, 0)), "")</f>
        <v>0.5383445163577838</v>
      </c>
      <c r="S14" s="836"/>
      <c r="T14" s="835">
        <f>IF(ISNUMBER(INDEX(Database!$P$6:$P$197, MATCH($B14&amp;"% GDP", Database!$AD$6:$AD$197, 0))), INDEX(Database!$P$6:$P$197, MATCH($B14&amp;"% GDP", Database!$AD$6:$AD$197, 0)), "")</f>
        <v>28.328059722826826</v>
      </c>
      <c r="U14" s="836" t="str">
        <f>IF(ISNUMBER(INDEX(Database!$Q$6:$Q$197, MATCH($B14&amp;"% GDP", Database!$AD$6:$AD$197, 0))), INDEX(Database!$Q$6:$Q$197, MATCH($B14&amp;"% GDP", Database!$AD$6:$AD$197, 0)), "")</f>
        <v/>
      </c>
      <c r="V14" s="836"/>
      <c r="W14" s="836">
        <f>IF(ISNUMBER(INDEX(Database!$U$6:$U$197, MATCH($B14&amp;"% GDP", Database!$AD$6:$AD$197, 0))), INDEX(Database!$U$6:$U$197, MATCH($B14&amp;"% GDP", Database!$AD$6:$AD$197, 0)), "")</f>
        <v>2.9144858299369676</v>
      </c>
      <c r="X14" s="836">
        <f>IF(ISNUMBER(INDEX(Database!$W$6:$W$197, MATCH($B14&amp;"% GDP", Database!$AD$6:$AD$197, 0))), INDEX(Database!$W$6:$W$197, MATCH($B14&amp;"% GDP", Database!$AD$6:$AD$197, 0)), "")</f>
        <v>25.413573892889861</v>
      </c>
      <c r="AB14" s="562"/>
    </row>
    <row r="15" spans="1:28">
      <c r="A15" s="559"/>
      <c r="B15" s="764" t="s">
        <v>6</v>
      </c>
      <c r="C15" s="831">
        <f>IF(ISNUMBER(INDEX(Database!$G$6:$G$197, MATCH($B15&amp;"USD bn", Database!$AD$6:$AD$197, 0))), INDEX(Database!$G$6:$G$197, MATCH($B15&amp;"USD bn", Database!$AD$6:$AD$197, 0)), "")</f>
        <v>104.83004568682564</v>
      </c>
      <c r="D15" s="832">
        <f>IF(ISNUMBER(INDEX(Database!$H$6:$H$197, MATCH($B15&amp;"USD bn", Database!$AD$6:$AD$197, 0))), INDEX(Database!$H$6:$H$197, MATCH($B15&amp;"USD bn", Database!$AD$6:$AD$197, 0)), "")</f>
        <v>11.949099791303487</v>
      </c>
      <c r="E15" s="832">
        <f>IF(ISNUMBER(INDEX(Database!$J$6:$J$197, MATCH($B15&amp;"USD bn", Database!$AD$6:$AD$197, 0))), INDEX(Database!$J$6:$J$197, MATCH($B15&amp;"USD bn", Database!$AD$6:$AD$197, 0)), "")</f>
        <v>92.880945895522146</v>
      </c>
      <c r="F15" s="833">
        <f>IF(ISNUMBER(INDEX(Database!$L$6:$L$197, MATCH($B15&amp;"USD bn", Database!$AD$6:$AD$197, 0))), INDEX(Database!$L$6:$L$197, MATCH($B15&amp;"USD bn", Database!$AD$6:$AD$197, 0)), "")</f>
        <v>27.965978234965611</v>
      </c>
      <c r="G15" s="832"/>
      <c r="H15" s="831">
        <f>IF(ISNUMBER(INDEX(Database!$P$6:$P$197, MATCH($B15&amp;"USD bn", Database!$AD$6:$AD$197, 0))), INDEX(Database!$P$6:$P$197, MATCH($B15&amp;"USD bn", Database!$AD$6:$AD$197, 0)), "")</f>
        <v>166.01621624938676</v>
      </c>
      <c r="I15" s="832" t="str">
        <f>IF(ISNUMBER(INDEX(Database!$Q$6:$Q$197, MATCH($B15&amp;"USD bn", Database!$AD$6:$AD$197, 0))), INDEX(Database!$Q$6:$Q$197, MATCH($B15&amp;"USD bn", Database!$AD$6:$AD$197, 0)), "")</f>
        <v/>
      </c>
      <c r="J15" s="832"/>
      <c r="K15" s="832">
        <f>IF(ISNUMBER(INDEX(Database!$U$6:$U$197, MATCH($B15&amp;"USD bn", Database!$AD$6:$AD$197, 0))), INDEX(Database!$U$6:$U$197, MATCH($B15&amp;"USD bn", Database!$AD$6:$AD$197, 0)), "")</f>
        <v>60.08448051088066</v>
      </c>
      <c r="L15" s="832">
        <f>IF(ISNUMBER(INDEX(Database!$W$6:$W$197, MATCH($B15&amp;"USD bn", Database!$AD$6:$AD$197, 0))), INDEX(Database!$W$6:$W$197, MATCH($B15&amp;"USD bn", Database!$AD$6:$AD$197, 0)), "")</f>
        <v>105.93173573850609</v>
      </c>
      <c r="M15" s="834"/>
      <c r="N15" s="834"/>
      <c r="O15" s="835">
        <f>IF(ISNUMBER(INDEX(Database!$G$6:$G$197, MATCH($B15&amp;"% GDP", Database!$AD$6:$AD$197, 0))), INDEX(Database!$G$6:$G$197, MATCH($B15&amp;"% GDP", Database!$AD$6:$AD$197, 0)), "")</f>
        <v>6.3988747084813387</v>
      </c>
      <c r="P15" s="836">
        <f>IF(ISNUMBER(INDEX(Database!$H$6:$H$197, MATCH($B15&amp;"% GDP", Database!$AD$6:$AD$197, 0))), INDEX(Database!$H$6:$H$197, MATCH($B15&amp;"% GDP", Database!$AD$6:$AD$197, 0)), "")</f>
        <v>0.7293786046045827</v>
      </c>
      <c r="Q15" s="836">
        <f>IF(ISNUMBER(INDEX(Database!$J$6:$J$197, MATCH($B15&amp;"% GDP", Database!$AD$6:$AD$197, 0))), INDEX(Database!$J$6:$J$197, MATCH($B15&amp;"% GDP", Database!$AD$6:$AD$197, 0)), "")</f>
        <v>5.6694961038767557</v>
      </c>
      <c r="R15" s="836">
        <f>IF(ISNUMBER(INDEX(Database!$L$6:$L$197, MATCH($B15&amp;"% GDP", Database!$AD$6:$AD$197, 0))), INDEX(Database!$L$6:$L$197, MATCH($B15&amp;"% GDP", Database!$AD$6:$AD$197, 0)), "")</f>
        <v>1.7070563086490231</v>
      </c>
      <c r="S15" s="836"/>
      <c r="T15" s="835">
        <f>IF(ISNUMBER(INDEX(Database!$P$6:$P$197, MATCH($B15&amp;"% GDP", Database!$AD$6:$AD$197, 0))), INDEX(Database!$P$6:$P$197, MATCH($B15&amp;"% GDP", Database!$AD$6:$AD$197, 0)), "")</f>
        <v>10.133706995889202</v>
      </c>
      <c r="U15" s="836" t="str">
        <f>IF(ISNUMBER(INDEX(Database!$Q$6:$Q$197, MATCH($B15&amp;"% GDP", Database!$AD$6:$AD$197, 0))), INDEX(Database!$Q$6:$Q$197, MATCH($B15&amp;"% GDP", Database!$AD$6:$AD$197, 0)), "")</f>
        <v/>
      </c>
      <c r="V15" s="836"/>
      <c r="W15" s="836">
        <f>IF(ISNUMBER(INDEX(Database!$U$6:$U$197, MATCH($B15&amp;"% GDP", Database!$AD$6:$AD$197, 0))), INDEX(Database!$U$6:$U$197, MATCH($B15&amp;"% GDP", Database!$AD$6:$AD$197, 0)), "")</f>
        <v>3.6675846146429012</v>
      </c>
      <c r="X15" s="836">
        <f>IF(ISNUMBER(INDEX(Database!$W$6:$W$197, MATCH($B15&amp;"% GDP", Database!$AD$6:$AD$197, 0))), INDEX(Database!$W$6:$W$197, MATCH($B15&amp;"% GDP", Database!$AD$6:$AD$197, 0)), "")</f>
        <v>6.4661223812463007</v>
      </c>
      <c r="AB15" s="562"/>
    </row>
    <row r="16" spans="1:28">
      <c r="A16" s="559"/>
      <c r="B16" s="764" t="s">
        <v>32</v>
      </c>
      <c r="C16" s="831">
        <f>IF(ISNUMBER(INDEX(Database!$G$6:$G$197, MATCH($B16&amp;"USD bn", Database!$AD$6:$AD$197, 0))), INDEX(Database!$G$6:$G$197, MATCH($B16&amp;"USD bn", Database!$AD$6:$AD$197, 0)), "")</f>
        <v>107.45168705821794</v>
      </c>
      <c r="D16" s="832">
        <f>IF(ISNUMBER(INDEX(Database!$H$6:$H$197, MATCH($B16&amp;"USD bn", Database!$AD$6:$AD$197, 0))), INDEX(Database!$H$6:$H$197, MATCH($B16&amp;"USD bn", Database!$AD$6:$AD$197, 0)), "")</f>
        <v>21.924024518198266</v>
      </c>
      <c r="E16" s="832">
        <f>IF(ISNUMBER(INDEX(Database!$J$6:$J$197, MATCH($B16&amp;"USD bn", Database!$AD$6:$AD$197, 0))), INDEX(Database!$J$6:$J$197, MATCH($B16&amp;"USD bn", Database!$AD$6:$AD$197, 0)), "")</f>
        <v>85.527662540019676</v>
      </c>
      <c r="F16" s="833">
        <f>IF(ISNUMBER(INDEX(Database!$L$6:$L$197, MATCH($B16&amp;"USD bn", Database!$AD$6:$AD$197, 0))), INDEX(Database!$L$6:$L$197, MATCH($B16&amp;"USD bn", Database!$AD$6:$AD$197, 0)), "")</f>
        <v>5.1357683670948562E-2</v>
      </c>
      <c r="G16" s="832"/>
      <c r="H16" s="831">
        <f>IF(ISNUMBER(INDEX(Database!$P$6:$P$197, MATCH($B16&amp;"USD bn", Database!$AD$6:$AD$197, 0))), INDEX(Database!$P$6:$P$197, MATCH($B16&amp;"USD bn", Database!$AD$6:$AD$197, 0)), "")</f>
        <v>184.01914572044612</v>
      </c>
      <c r="I16" s="832">
        <f>IF(ISNUMBER(INDEX(Database!$Q$6:$Q$197, MATCH($B16&amp;"USD bn", Database!$AD$6:$AD$197, 0))), INDEX(Database!$Q$6:$Q$197, MATCH($B16&amp;"USD bn", Database!$AD$6:$AD$197, 0)), "")</f>
        <v>0.72927910812746966</v>
      </c>
      <c r="J16" s="832"/>
      <c r="K16" s="832">
        <f>IF(ISNUMBER(INDEX(Database!$U$6:$U$197, MATCH($B16&amp;"USD bn", Database!$AD$6:$AD$197, 0))), INDEX(Database!$U$6:$U$197, MATCH($B16&amp;"USD bn", Database!$AD$6:$AD$197, 0)), "")</f>
        <v>171.87704801877453</v>
      </c>
      <c r="L16" s="832">
        <f>IF(ISNUMBER(INDEX(Database!$W$6:$W$197, MATCH($B16&amp;"USD bn", Database!$AD$6:$AD$197, 0))), INDEX(Database!$W$6:$W$197, MATCH($B16&amp;"USD bn", Database!$AD$6:$AD$197, 0)), "")</f>
        <v>11.412818593544126</v>
      </c>
      <c r="M16" s="834"/>
      <c r="N16" s="834"/>
      <c r="O16" s="835">
        <f>IF(ISNUMBER(INDEX(Database!$G$6:$G$197, MATCH($B16&amp;"% GDP", Database!$AD$6:$AD$197, 0))), INDEX(Database!$G$6:$G$197, MATCH($B16&amp;"% GDP", Database!$AD$6:$AD$197, 0)), "")</f>
        <v>8.3916545151825215</v>
      </c>
      <c r="P16" s="836">
        <f>IF(ISNUMBER(INDEX(Database!$H$6:$H$197, MATCH($B16&amp;"% GDP", Database!$AD$6:$AD$197, 0))), INDEX(Database!$H$6:$H$197, MATCH($B16&amp;"% GDP", Database!$AD$6:$AD$197, 0)), "")</f>
        <v>1.7122005654451007</v>
      </c>
      <c r="Q16" s="836">
        <f>IF(ISNUMBER(INDEX(Database!$J$6:$J$197, MATCH($B16&amp;"% GDP", Database!$AD$6:$AD$197, 0))), INDEX(Database!$J$6:$J$197, MATCH($B16&amp;"% GDP", Database!$AD$6:$AD$197, 0)), "")</f>
        <v>6.6794539497374199</v>
      </c>
      <c r="R16" s="836">
        <f>IF(ISNUMBER(INDEX(Database!$L$6:$L$197, MATCH($B16&amp;"% GDP", Database!$AD$6:$AD$197, 0))), INDEX(Database!$L$6:$L$197, MATCH($B16&amp;"% GDP", Database!$AD$6:$AD$197, 0)), "")</f>
        <v>4.010881074702214E-3</v>
      </c>
      <c r="S16" s="836"/>
      <c r="T16" s="835">
        <f>IF(ISNUMBER(INDEX(Database!$P$6:$P$197, MATCH($B16&amp;"% GDP", Database!$AD$6:$AD$197, 0))), INDEX(Database!$P$6:$P$197, MATCH($B16&amp;"% GDP", Database!$AD$6:$AD$197, 0)), "")</f>
        <v>14.371343413420227</v>
      </c>
      <c r="U16" s="836">
        <f>IF(ISNUMBER(INDEX(Database!$Q$6:$Q$197, MATCH($B16&amp;"% GDP", Database!$AD$6:$AD$197, 0))), INDEX(Database!$Q$6:$Q$197, MATCH($B16&amp;"% GDP", Database!$AD$6:$AD$197, 0)), "")</f>
        <v>5.6954511260771438E-2</v>
      </c>
      <c r="V16" s="836"/>
      <c r="W16" s="836">
        <f>IF(ISNUMBER(INDEX(Database!$U$6:$U$197, MATCH($B16&amp;"% GDP", Database!$AD$6:$AD$197, 0))), INDEX(Database!$U$6:$U$197, MATCH($B16&amp;"% GDP", Database!$AD$6:$AD$197, 0)), "")</f>
        <v>13.423081996670074</v>
      </c>
      <c r="X16" s="836">
        <f>IF(ISNUMBER(INDEX(Database!$W$6:$W$197, MATCH($B16&amp;"% GDP", Database!$AD$6:$AD$197, 0))), INDEX(Database!$W$6:$W$197, MATCH($B16&amp;"% GDP", Database!$AD$6:$AD$197, 0)), "")</f>
        <v>0.89130690548938096</v>
      </c>
      <c r="AB16" s="562"/>
    </row>
    <row r="17" spans="1:28">
      <c r="A17" s="559"/>
      <c r="B17" s="764" t="s">
        <v>7</v>
      </c>
      <c r="C17" s="831">
        <f>IF(ISNUMBER(INDEX(Database!$G$6:$G$197, MATCH($B17&amp;"USD bn", Database!$AD$6:$AD$197, 0))), INDEX(Database!$G$6:$G$197, MATCH($B17&amp;"USD bn", Database!$AD$6:$AD$197, 0)), "")</f>
        <v>522.16796884260248</v>
      </c>
      <c r="D17" s="832">
        <f>IF(ISNUMBER(INDEX(Database!$H$6:$H$197, MATCH($B17&amp;"USD bn", Database!$AD$6:$AD$197, 0))), INDEX(Database!$H$6:$H$197, MATCH($B17&amp;"USD bn", Database!$AD$6:$AD$197, 0)), "")</f>
        <v>130.8627342062542</v>
      </c>
      <c r="E17" s="832">
        <f>IF(ISNUMBER(INDEX(Database!$J$6:$J$197, MATCH($B17&amp;"USD bn", Database!$AD$6:$AD$197, 0))), INDEX(Database!$J$6:$J$197, MATCH($B17&amp;"USD bn", Database!$AD$6:$AD$197, 0)), "")</f>
        <v>391.30523463634825</v>
      </c>
      <c r="F17" s="833">
        <f>IF(ISNUMBER(INDEX(Database!$L$6:$L$197, MATCH($B17&amp;"USD bn", Database!$AD$6:$AD$197, 0))), INDEX(Database!$L$6:$L$197, MATCH($B17&amp;"USD bn", Database!$AD$6:$AD$197, 0)), "")</f>
        <v>16.03709978017821</v>
      </c>
      <c r="G17" s="832"/>
      <c r="H17" s="831">
        <f>IF(ISNUMBER(INDEX(Database!$P$6:$P$197, MATCH($B17&amp;"USD bn", Database!$AD$6:$AD$197, 0))), INDEX(Database!$P$6:$P$197, MATCH($B17&amp;"USD bn", Database!$AD$6:$AD$197, 0)), "")</f>
        <v>452.92618683170508</v>
      </c>
      <c r="I17" s="832">
        <f>IF(ISNUMBER(INDEX(Database!$Q$6:$Q$197, MATCH($B17&amp;"USD bn", Database!$AD$6:$AD$197, 0))), INDEX(Database!$Q$6:$Q$197, MATCH($B17&amp;"USD bn", Database!$AD$6:$AD$197, 0)), "")</f>
        <v>1.3214570218866846</v>
      </c>
      <c r="J17" s="832"/>
      <c r="K17" s="832">
        <f>IF(ISNUMBER(INDEX(Database!$U$6:$U$197, MATCH($B17&amp;"USD bn", Database!$AD$6:$AD$197, 0))), INDEX(Database!$U$6:$U$197, MATCH($B17&amp;"USD bn", Database!$AD$6:$AD$197, 0)), "")</f>
        <v>451.60472980981842</v>
      </c>
      <c r="L17" s="832" t="str">
        <f>IF(ISNUMBER(INDEX(Database!$W$6:$W$197, MATCH($B17&amp;"USD bn", Database!$AD$6:$AD$197, 0))), INDEX(Database!$W$6:$W$197, MATCH($B17&amp;"USD bn", Database!$AD$6:$AD$197, 0)), "")</f>
        <v/>
      </c>
      <c r="M17" s="834"/>
      <c r="N17" s="834"/>
      <c r="O17" s="835">
        <f>IF(ISNUMBER(INDEX(Database!$G$6:$G$197, MATCH($B17&amp;"% GDP", Database!$AD$6:$AD$197, 0))), INDEX(Database!$G$6:$G$197, MATCH($B17&amp;"% GDP", Database!$AD$6:$AD$197, 0)), "")</f>
        <v>19.27047748644793</v>
      </c>
      <c r="P17" s="836">
        <f>IF(ISNUMBER(INDEX(Database!$H$6:$H$197, MATCH($B17&amp;"% GDP", Database!$AD$6:$AD$197, 0))), INDEX(Database!$H$6:$H$197, MATCH($B17&amp;"% GDP", Database!$AD$6:$AD$197, 0)), "")</f>
        <v>4.8294562742449347</v>
      </c>
      <c r="Q17" s="836">
        <f>IF(ISNUMBER(INDEX(Database!$J$6:$J$197, MATCH($B17&amp;"% GDP", Database!$AD$6:$AD$197, 0))), INDEX(Database!$J$6:$J$197, MATCH($B17&amp;"% GDP", Database!$AD$6:$AD$197, 0)), "")</f>
        <v>14.441021212202996</v>
      </c>
      <c r="R17" s="836">
        <f>IF(ISNUMBER(INDEX(Database!$L$6:$L$197, MATCH($B17&amp;"% GDP", Database!$AD$6:$AD$197, 0))), INDEX(Database!$L$6:$L$197, MATCH($B17&amp;"% GDP", Database!$AD$6:$AD$197, 0)), "")</f>
        <v>0.59184513164766361</v>
      </c>
      <c r="S17" s="836"/>
      <c r="T17" s="835">
        <f>IF(ISNUMBER(INDEX(Database!$P$6:$P$197, MATCH($B17&amp;"% GDP", Database!$AD$6:$AD$197, 0))), INDEX(Database!$P$6:$P$197, MATCH($B17&amp;"% GDP", Database!$AD$6:$AD$197, 0)), "")</f>
        <v>16.715126946045974</v>
      </c>
      <c r="U17" s="836">
        <f>IF(ISNUMBER(INDEX(Database!$Q$6:$Q$197, MATCH($B17&amp;"% GDP", Database!$AD$6:$AD$197, 0))), INDEX(Database!$Q$6:$Q$197, MATCH($B17&amp;"% GDP", Database!$AD$6:$AD$197, 0)), "")</f>
        <v>4.8768038847767488E-2</v>
      </c>
      <c r="V17" s="836"/>
      <c r="W17" s="836">
        <f>IF(ISNUMBER(INDEX(Database!$U$6:$U$197, MATCH($B17&amp;"% GDP", Database!$AD$6:$AD$197, 0))), INDEX(Database!$U$6:$U$197, MATCH($B17&amp;"% GDP", Database!$AD$6:$AD$197, 0)), "")</f>
        <v>16.666358907198209</v>
      </c>
      <c r="X17" s="836" t="str">
        <f>IF(ISNUMBER(INDEX(Database!$W$6:$W$197, MATCH($B17&amp;"% GDP", Database!$AD$6:$AD$197, 0))), INDEX(Database!$W$6:$W$197, MATCH($B17&amp;"% GDP", Database!$AD$6:$AD$197, 0)), "")</f>
        <v/>
      </c>
      <c r="AB17" s="562"/>
    </row>
    <row r="18" spans="1:28">
      <c r="A18" s="559"/>
      <c r="B18" s="764" t="s">
        <v>8</v>
      </c>
      <c r="C18" s="831">
        <f>IF(ISNUMBER(INDEX(Database!$G$6:$G$197, MATCH($B18&amp;"USD bn", Database!$AD$6:$AD$197, 0))), INDEX(Database!$G$6:$G$197, MATCH($B18&amp;"USD bn", Database!$AD$6:$AD$197, 0)), "")</f>
        <v>5328.3</v>
      </c>
      <c r="D18" s="832">
        <f>IF(ISNUMBER(INDEX(Database!$H$6:$H$197, MATCH($B18&amp;"USD bn", Database!$AD$6:$AD$197, 0))), INDEX(Database!$H$6:$H$197, MATCH($B18&amp;"USD bn", Database!$AD$6:$AD$197, 0)), "")</f>
        <v>687.3</v>
      </c>
      <c r="E18" s="832">
        <f>IF(ISNUMBER(INDEX(Database!$J$6:$J$197, MATCH($B18&amp;"USD bn", Database!$AD$6:$AD$197, 0))), INDEX(Database!$J$6:$J$197, MATCH($B18&amp;"USD bn", Database!$AD$6:$AD$197, 0)), "")</f>
        <v>4641</v>
      </c>
      <c r="F18" s="833">
        <f>IF(ISNUMBER(INDEX(Database!$L$6:$L$197, MATCH($B18&amp;"USD bn", Database!$AD$6:$AD$197, 0))), INDEX(Database!$L$6:$L$197, MATCH($B18&amp;"USD bn", Database!$AD$6:$AD$197, 0)), "")</f>
        <v>17.98</v>
      </c>
      <c r="G18" s="832"/>
      <c r="H18" s="831">
        <f>IF(ISNUMBER(INDEX(Database!$P$6:$P$197, MATCH($B18&amp;"USD bn", Database!$AD$6:$AD$197, 0))), INDEX(Database!$P$6:$P$197, MATCH($B18&amp;"USD bn", Database!$AD$6:$AD$197, 0)), "")</f>
        <v>510</v>
      </c>
      <c r="I18" s="832">
        <f>IF(ISNUMBER(INDEX(Database!$Q$6:$Q$197, MATCH($B18&amp;"USD bn", Database!$AD$6:$AD$197, 0))), INDEX(Database!$Q$6:$Q$197, MATCH($B18&amp;"USD bn", Database!$AD$6:$AD$197, 0)), "")</f>
        <v>56</v>
      </c>
      <c r="J18" s="832"/>
      <c r="K18" s="832">
        <f>IF(ISNUMBER(INDEX(Database!$U$6:$U$197, MATCH($B18&amp;"USD bn", Database!$AD$6:$AD$197, 0))), INDEX(Database!$U$6:$U$197, MATCH($B18&amp;"USD bn", Database!$AD$6:$AD$197, 0)), "")</f>
        <v>454</v>
      </c>
      <c r="L18" s="832" t="str">
        <f>IF(ISNUMBER(INDEX(Database!$W$6:$W$197, MATCH($B18&amp;"USD bn", Database!$AD$6:$AD$197, 0))), INDEX(Database!$W$6:$W$197, MATCH($B18&amp;"USD bn", Database!$AD$6:$AD$197, 0)), "")</f>
        <v/>
      </c>
      <c r="M18" s="834"/>
      <c r="N18" s="834"/>
      <c r="O18" s="835">
        <f>IF(ISNUMBER(INDEX(Database!$G$6:$G$197, MATCH($B18&amp;"% GDP", Database!$AD$6:$AD$197, 0))), INDEX(Database!$G$6:$G$197, MATCH($B18&amp;"% GDP", Database!$AD$6:$AD$197, 0)), "")</f>
        <v>25.501884534848941</v>
      </c>
      <c r="P18" s="836">
        <f>IF(ISNUMBER(INDEX(Database!$H$6:$H$197, MATCH($B18&amp;"% GDP", Database!$AD$6:$AD$197, 0))), INDEX(Database!$H$6:$H$197, MATCH($B18&amp;"% GDP", Database!$AD$6:$AD$197, 0)), "")</f>
        <v>3.2895004486987736</v>
      </c>
      <c r="Q18" s="836">
        <f>IF(ISNUMBER(INDEX(Database!$J$6:$J$197, MATCH($B18&amp;"% GDP", Database!$AD$6:$AD$197, 0))), INDEX(Database!$J$6:$J$197, MATCH($B18&amp;"% GDP", Database!$AD$6:$AD$197, 0)), "")</f>
        <v>22.212384086150163</v>
      </c>
      <c r="R18" s="836">
        <f>IF(ISNUMBER(INDEX(Database!$L$6:$L$197, MATCH($B18&amp;"% GDP", Database!$AD$6:$AD$197, 0))), INDEX(Database!$L$6:$L$197, MATCH($B18&amp;"% GDP", Database!$AD$6:$AD$197, 0)), "")</f>
        <v>8.6054442117858218E-2</v>
      </c>
      <c r="S18" s="836"/>
      <c r="T18" s="835">
        <f>IF(ISNUMBER(INDEX(Database!$P$6:$P$197, MATCH($B18&amp;"% GDP", Database!$AD$6:$AD$197, 0))), INDEX(Database!$P$6:$P$197, MATCH($B18&amp;"% GDP", Database!$AD$6:$AD$197, 0)), "")</f>
        <v>2.4409213281483697</v>
      </c>
      <c r="U18" s="836">
        <f>IF(ISNUMBER(INDEX(Database!$Q$6:$Q$197, MATCH($B18&amp;"% GDP", Database!$AD$6:$AD$197, 0))), INDEX(Database!$Q$6:$Q$197, MATCH($B18&amp;"% GDP", Database!$AD$6:$AD$197, 0)), "")</f>
        <v>0.26802273407119354</v>
      </c>
      <c r="V18" s="836"/>
      <c r="W18" s="836">
        <f>IF(ISNUMBER(INDEX(Database!$U$6:$U$197, MATCH($B18&amp;"% GDP", Database!$AD$6:$AD$197, 0))), INDEX(Database!$U$6:$U$197, MATCH($B18&amp;"% GDP", Database!$AD$6:$AD$197, 0)), "")</f>
        <v>2.1728985940771763</v>
      </c>
      <c r="X18" s="836" t="str">
        <f>IF(ISNUMBER(INDEX(Database!$W$6:$W$197, MATCH($B18&amp;"% GDP", Database!$AD$6:$AD$197, 0))), INDEX(Database!$W$6:$W$197, MATCH($B18&amp;"% GDP", Database!$AD$6:$AD$197, 0)), "")</f>
        <v/>
      </c>
      <c r="AB18" s="562"/>
    </row>
    <row r="19" spans="1:28" ht="13.5" customHeight="1">
      <c r="A19" s="559"/>
      <c r="B19" s="829" t="s">
        <v>869</v>
      </c>
      <c r="C19" s="835" t="str">
        <f>IF(ISNUMBER(INDEX(Database!$G$6:$G$197, MATCH($B19&amp;"USD bn", Database!$AD$6:$AD$197, 0))), INDEX(Database!$G$6:$G$197, MATCH($B19&amp;"USD bn", Database!$AD$6:$AD$197, 0)), "")</f>
        <v/>
      </c>
      <c r="D19" s="836" t="str">
        <f>IF(ISNUMBER(INDEX(Database!$H$6:$H$197, MATCH($B19&amp;"USD bn", Database!$AD$6:$AD$197, 0))), INDEX(Database!$H$6:$H$197, MATCH($B19&amp;"USD bn", Database!$AD$6:$AD$197, 0)), "")</f>
        <v/>
      </c>
      <c r="E19" s="836" t="str">
        <f>IF(ISNUMBER(INDEX(Database!$J$6:$J$197, MATCH($B19&amp;"USD bn", Database!$AD$6:$AD$197, 0))), INDEX(Database!$J$6:$J$197, MATCH($B19&amp;"USD bn", Database!$AD$6:$AD$197, 0)), "")</f>
        <v/>
      </c>
      <c r="F19" s="836" t="str">
        <f>IF(ISNUMBER(INDEX(Database!$L$6:$L$197, MATCH($B19&amp;"USD bn", Database!$AD$6:$AD$197, 0))), INDEX(Database!$L$6:$L$197, MATCH($B19&amp;"USD bn", Database!$AD$6:$AD$197, 0)), "")</f>
        <v/>
      </c>
      <c r="G19" s="836"/>
      <c r="H19" s="835" t="str">
        <f>IF(ISNUMBER(INDEX(Database!$P$6:$P$197, MATCH($B19&amp;"USD bn", Database!$AD$6:$AD$197, 0))), INDEX(Database!$P$6:$P$197, MATCH($B19&amp;"USD bn", Database!$AD$6:$AD$197, 0)), "")</f>
        <v/>
      </c>
      <c r="I19" s="837" t="str">
        <f>IF(ISNUMBER(INDEX(Database!$Q$6:$Q$197, MATCH($B19&amp;"USD bn", Database!$AD$6:$AD$197, 0))), INDEX(Database!$Q$6:$Q$197, MATCH($B19&amp;"USD bn", Database!$AD$6:$AD$197, 0)), "")</f>
        <v/>
      </c>
      <c r="J19" s="837"/>
      <c r="K19" s="837" t="str">
        <f>IF(ISNUMBER(INDEX(Database!$U$6:$U$197, MATCH($B19&amp;"USD bn", Database!$AD$6:$AD$197, 0))), INDEX(Database!$U$6:$U$197, MATCH($B19&amp;"USD bn", Database!$AD$6:$AD$197, 0)), "")</f>
        <v/>
      </c>
      <c r="L19" s="837" t="str">
        <f>IF(ISNUMBER(INDEX(Database!$W$6:$W$197, MATCH($B19&amp;"USD bn", Database!$AD$6:$AD$197, 0))), INDEX(Database!$W$6:$W$197, MATCH($B19&amp;"USD bn", Database!$AD$6:$AD$197, 0)), "")</f>
        <v/>
      </c>
      <c r="M19" s="834"/>
      <c r="N19" s="834"/>
      <c r="O19" s="835" t="str">
        <f>IF(ISNUMBER(INDEX(Database!$G$6:$G$197, MATCH($B19&amp;"% GDP", Database!$AD$6:$AD$197, 0))), INDEX(Database!$G$6:$G$197, MATCH($B19&amp;"% GDP", Database!$AD$6:$AD$197, 0)), "")</f>
        <v/>
      </c>
      <c r="P19" s="836" t="str">
        <f>IF(ISNUMBER(INDEX(Database!$H$6:$H$197, MATCH($B19&amp;"% GDP", Database!$AD$6:$AD$197, 0))), INDEX(Database!$H$6:$H$197, MATCH($B19&amp;"% GDP", Database!$AD$6:$AD$197, 0)), "")</f>
        <v/>
      </c>
      <c r="Q19" s="836" t="str">
        <f>IF(ISNUMBER(INDEX(Database!$J$6:$J$197, MATCH($B19&amp;"% GDP", Database!$AD$6:$AD$197, 0))), INDEX(Database!$J$6:$J$197, MATCH($B19&amp;"% GDP", Database!$AD$6:$AD$197, 0)), "")</f>
        <v/>
      </c>
      <c r="R19" s="836" t="str">
        <f>IF(ISNUMBER(INDEX(Database!$L$6:$L$197, MATCH($B19&amp;"% GDP", Database!$AD$6:$AD$197, 0))), INDEX(Database!$L$6:$L$197, MATCH($B19&amp;"% GDP", Database!$AD$6:$AD$197, 0)), "")</f>
        <v/>
      </c>
      <c r="S19" s="836"/>
      <c r="T19" s="835" t="str">
        <f>IF(ISNUMBER(INDEX(Database!$P$6:$P$197, MATCH($B19&amp;"% GDP", Database!$AD$6:$AD$197, 0))), INDEX(Database!$P$6:$P$197, MATCH($B19&amp;"% GDP", Database!$AD$6:$AD$197, 0)), "")</f>
        <v/>
      </c>
      <c r="U19" s="836" t="str">
        <f>IF(ISNUMBER(INDEX(Database!$Q$6:$Q$197, MATCH($B19&amp;"% GDP", Database!$AD$6:$AD$197, 0))), INDEX(Database!$Q$6:$Q$197, MATCH($B19&amp;"% GDP", Database!$AD$6:$AD$197, 0)), "")</f>
        <v/>
      </c>
      <c r="V19" s="836"/>
      <c r="W19" s="836" t="str">
        <f>IF(ISNUMBER(INDEX(Database!$U$6:$U$197, MATCH($B19&amp;"% GDP", Database!$AD$6:$AD$197, 0))), INDEX(Database!$U$6:$U$197, MATCH($B19&amp;"% GDP", Database!$AD$6:$AD$197, 0)), "")</f>
        <v/>
      </c>
      <c r="X19" s="836" t="str">
        <f>IF(ISNUMBER(INDEX(Database!$W$6:$W$197, MATCH($B19&amp;"% GDP", Database!$AD$6:$AD$197, 0))), INDEX(Database!$W$6:$W$197, MATCH($B19&amp;"% GDP", Database!$AD$6:$AD$197, 0)), "")</f>
        <v/>
      </c>
      <c r="AB19" s="561"/>
    </row>
    <row r="20" spans="1:28" ht="13.5" customHeight="1">
      <c r="A20" s="559"/>
      <c r="B20" s="764" t="s">
        <v>9</v>
      </c>
      <c r="C20" s="831">
        <f>IF(ISNUMBER(INDEX(Database!$G$6:$G$197, MATCH($B20&amp;"USD bn", Database!$AD$6:$AD$197, 0))), INDEX(Database!$G$6:$G$197, MATCH($B20&amp;"USD bn", Database!$AD$6:$AD$197, 0)), "")</f>
        <v>20.812695929621835</v>
      </c>
      <c r="D20" s="832">
        <f>IF(ISNUMBER(INDEX(Database!$H$6:$H$197, MATCH($B20&amp;"USD bn", Database!$AD$6:$AD$197, 0))), INDEX(Database!$H$6:$H$197, MATCH($B20&amp;"USD bn", Database!$AD$6:$AD$197, 0)), "")</f>
        <v>4.9352464465452508</v>
      </c>
      <c r="E20" s="832">
        <f>IF(ISNUMBER(INDEX(Database!$J$6:$J$197, MATCH($B20&amp;"USD bn", Database!$AD$6:$AD$197, 0))), INDEX(Database!$J$6:$J$197, MATCH($B20&amp;"USD bn", Database!$AD$6:$AD$197, 0)), "")</f>
        <v>15.877449483076587</v>
      </c>
      <c r="F20" s="833">
        <f>IF(ISNUMBER(INDEX(Database!$L$6:$L$197, MATCH($B20&amp;"USD bn", Database!$AD$6:$AD$197, 0))), INDEX(Database!$L$6:$L$197, MATCH($B20&amp;"USD bn", Database!$AD$6:$AD$197, 0)), "")</f>
        <v>0.14157333466853844</v>
      </c>
      <c r="G20" s="832"/>
      <c r="H20" s="831">
        <f>IF(ISNUMBER(INDEX(Database!$P$6:$P$197, MATCH($B20&amp;"USD bn", Database!$AD$6:$AD$197, 0))), INDEX(Database!$P$6:$P$197, MATCH($B20&amp;"USD bn", Database!$AD$6:$AD$197, 0)), "")</f>
        <v>9.9568526272383089</v>
      </c>
      <c r="I20" s="837">
        <f>IF(ISNUMBER(INDEX(Database!$Q$6:$Q$197, MATCH($B20&amp;"USD bn", Database!$AD$6:$AD$197, 0))), INDEX(Database!$Q$6:$Q$197, MATCH($B20&amp;"USD bn", Database!$AD$6:$AD$197, 0)), "")</f>
        <v>0.99526054271982523</v>
      </c>
      <c r="J20" s="837"/>
      <c r="K20" s="837">
        <f>IF(ISNUMBER(INDEX(Database!$U$6:$U$197, MATCH($B20&amp;"USD bn", Database!$AD$6:$AD$197, 0))), INDEX(Database!$U$6:$U$197, MATCH($B20&amp;"USD bn", Database!$AD$6:$AD$197, 0)), "")</f>
        <v>8.9615920845184842</v>
      </c>
      <c r="L20" s="837" t="str">
        <f>IF(ISNUMBER(INDEX(Database!$W$6:$W$197, MATCH($B20&amp;"USD bn", Database!$AD$6:$AD$197, 0))), INDEX(Database!$W$6:$W$197, MATCH($B20&amp;"USD bn", Database!$AD$6:$AD$197, 0)), "")</f>
        <v/>
      </c>
      <c r="M20" s="834"/>
      <c r="N20" s="834"/>
      <c r="O20" s="835">
        <f>IF(ISNUMBER(INDEX(Database!$G$6:$G$197, MATCH($B20&amp;"% GDP", Database!$AD$6:$AD$197, 0))), INDEX(Database!$G$6:$G$197, MATCH($B20&amp;"% GDP", Database!$AD$6:$AD$197, 0)), "")</f>
        <v>5.3494285646507498</v>
      </c>
      <c r="P20" s="836">
        <f>IF(ISNUMBER(INDEX(Database!$H$6:$H$197, MATCH($B20&amp;"% GDP", Database!$AD$6:$AD$197, 0))), INDEX(Database!$H$6:$H$197, MATCH($B20&amp;"% GDP", Database!$AD$6:$AD$197, 0)), "")</f>
        <v>1.2684924818973211</v>
      </c>
      <c r="Q20" s="836">
        <f>IF(ISNUMBER(INDEX(Database!$J$6:$J$197, MATCH($B20&amp;"% GDP", Database!$AD$6:$AD$197, 0))), INDEX(Database!$J$6:$J$197, MATCH($B20&amp;"% GDP", Database!$AD$6:$AD$197, 0)), "")</f>
        <v>4.0809360827534293</v>
      </c>
      <c r="R20" s="836">
        <f>IF(ISNUMBER(INDEX(Database!$L$6:$L$197, MATCH($B20&amp;"% GDP", Database!$AD$6:$AD$197, 0))), INDEX(Database!$L$6:$L$197, MATCH($B20&amp;"% GDP", Database!$AD$6:$AD$197, 0)), "")</f>
        <v>3.6388195120405073E-2</v>
      </c>
      <c r="S20" s="836"/>
      <c r="T20" s="835">
        <f>IF(ISNUMBER(INDEX(Database!$P$6:$P$197, MATCH($B20&amp;"% GDP", Database!$AD$6:$AD$197, 0))), INDEX(Database!$P$6:$P$197, MATCH($B20&amp;"% GDP", Database!$AD$6:$AD$197, 0)), "")</f>
        <v>2.5591817628180888</v>
      </c>
      <c r="U20" s="836">
        <f>IF(ISNUMBER(INDEX(Database!$Q$6:$Q$197, MATCH($B20&amp;"% GDP", Database!$AD$6:$AD$197, 0))), INDEX(Database!$Q$6:$Q$197, MATCH($B20&amp;"% GDP", Database!$AD$6:$AD$197, 0)), "")</f>
        <v>0.25580901169644765</v>
      </c>
      <c r="V20" s="836"/>
      <c r="W20" s="836">
        <f>IF(ISNUMBER(INDEX(Database!$U$6:$U$197, MATCH($B20&amp;"% GDP", Database!$AD$6:$AD$197, 0))), INDEX(Database!$U$6:$U$197, MATCH($B20&amp;"% GDP", Database!$AD$6:$AD$197, 0)), "")</f>
        <v>2.3033727511216413</v>
      </c>
      <c r="X20" s="836" t="str">
        <f>IF(ISNUMBER(INDEX(Database!$W$6:$W$197, MATCH($B20&amp;"% GDP", Database!$AD$6:$AD$197, 0))), INDEX(Database!$W$6:$W$197, MATCH($B20&amp;"% GDP", Database!$AD$6:$AD$197, 0)), "")</f>
        <v/>
      </c>
      <c r="AB20" s="562"/>
    </row>
    <row r="21" spans="1:28">
      <c r="A21" s="559"/>
      <c r="B21" s="764" t="s">
        <v>10</v>
      </c>
      <c r="C21" s="831">
        <f>IF(ISNUMBER(INDEX(Database!$G$6:$G$197, MATCH($B21&amp;"USD bn", Database!$AD$6:$AD$197, 0))), INDEX(Database!$G$6:$G$197, MATCH($B21&amp;"USD bn", Database!$AD$6:$AD$197, 0)), "")</f>
        <v>133.43721913654085</v>
      </c>
      <c r="D21" s="832">
        <f>IF(ISNUMBER(INDEX(Database!$H$6:$H$197, MATCH($B21&amp;"USD bn", Database!$AD$6:$AD$197, 0))), INDEX(Database!$H$6:$H$197, MATCH($B21&amp;"USD bn", Database!$AD$6:$AD$197, 0)), "")</f>
        <v>21.104767323819807</v>
      </c>
      <c r="E21" s="832">
        <f>IF(ISNUMBER(INDEX(Database!$J$6:$J$197, MATCH($B21&amp;"USD bn", Database!$AD$6:$AD$197, 0))), INDEX(Database!$J$6:$J$197, MATCH($B21&amp;"USD bn", Database!$AD$6:$AD$197, 0)), "")</f>
        <v>112.33245181272106</v>
      </c>
      <c r="F21" s="833">
        <f>IF(ISNUMBER(INDEX(Database!$L$6:$L$197, MATCH($B21&amp;"USD bn", Database!$AD$6:$AD$197, 0))), INDEX(Database!$L$6:$L$197, MATCH($B21&amp;"USD bn", Database!$AD$6:$AD$197, 0)), "")</f>
        <v>44.537266337766802</v>
      </c>
      <c r="G21" s="832"/>
      <c r="H21" s="831">
        <f>IF(ISNUMBER(INDEX(Database!$P$6:$P$197, MATCH($B21&amp;"USD bn", Database!$AD$6:$AD$197, 0))), INDEX(Database!$P$6:$P$197, MATCH($B21&amp;"USD bn", Database!$AD$6:$AD$197, 0)), "")</f>
        <v>88.861157270605275</v>
      </c>
      <c r="I21" s="837">
        <f>IF(ISNUMBER(INDEX(Database!$Q$6:$Q$197, MATCH($B21&amp;"USD bn", Database!$AD$6:$AD$197, 0))), INDEX(Database!$Q$6:$Q$197, MATCH($B21&amp;"USD bn", Database!$AD$6:$AD$197, 0)), "")</f>
        <v>15.498813503430172</v>
      </c>
      <c r="J21" s="837"/>
      <c r="K21" s="837" t="str">
        <f>IF(ISNUMBER(INDEX(Database!$U$6:$U$197, MATCH($B21&amp;"USD bn", Database!$AD$6:$AD$197, 0))), INDEX(Database!$U$6:$U$197, MATCH($B21&amp;"USD bn", Database!$AD$6:$AD$197, 0)), "")</f>
        <v/>
      </c>
      <c r="L21" s="837">
        <f>IF(ISNUMBER(INDEX(Database!$W$6:$W$197, MATCH($B21&amp;"USD bn", Database!$AD$6:$AD$197, 0))), INDEX(Database!$W$6:$W$197, MATCH($B21&amp;"USD bn", Database!$AD$6:$AD$197, 0)), "")</f>
        <v>73.362343767175105</v>
      </c>
      <c r="M21" s="834"/>
      <c r="N21" s="834"/>
      <c r="O21" s="835">
        <f>IF(ISNUMBER(INDEX(Database!$G$6:$G$197, MATCH($B21&amp;"% GDP", Database!$AD$6:$AD$197, 0))), INDEX(Database!$G$6:$G$197, MATCH($B21&amp;"% GDP", Database!$AD$6:$AD$197, 0)), "")</f>
        <v>9.2362126130761357</v>
      </c>
      <c r="P21" s="836">
        <f>IF(ISNUMBER(INDEX(Database!$H$6:$H$197, MATCH($B21&amp;"% GDP", Database!$AD$6:$AD$197, 0))), INDEX(Database!$H$6:$H$197, MATCH($B21&amp;"% GDP", Database!$AD$6:$AD$197, 0)), "")</f>
        <v>1.460822695599191</v>
      </c>
      <c r="Q21" s="836">
        <f>IF(ISNUMBER(INDEX(Database!$J$6:$J$197, MATCH($B21&amp;"% GDP", Database!$AD$6:$AD$197, 0))), INDEX(Database!$J$6:$J$197, MATCH($B21&amp;"% GDP", Database!$AD$6:$AD$197, 0)), "")</f>
        <v>7.7753899174769447</v>
      </c>
      <c r="R21" s="836">
        <f>IF(ISNUMBER(INDEX(Database!$L$6:$L$197, MATCH($B21&amp;"% GDP", Database!$AD$6:$AD$197, 0))), INDEX(Database!$L$6:$L$197, MATCH($B21&amp;"% GDP", Database!$AD$6:$AD$197, 0)), "")</f>
        <v>3.0827655414482935</v>
      </c>
      <c r="S21" s="836"/>
      <c r="T21" s="835">
        <f>IF(ISNUMBER(INDEX(Database!$P$6:$P$197, MATCH($B21&amp;"% GDP", Database!$AD$6:$AD$197, 0))), INDEX(Database!$P$6:$P$197, MATCH($B21&amp;"% GDP", Database!$AD$6:$AD$197, 0)), "")</f>
        <v>6.1507617357903444</v>
      </c>
      <c r="U21" s="836">
        <f>IF(ISNUMBER(INDEX(Database!$Q$6:$Q$197, MATCH($B21&amp;"% GDP", Database!$AD$6:$AD$197, 0))), INDEX(Database!$Q$6:$Q$197, MATCH($B21&amp;"% GDP", Database!$AD$6:$AD$197, 0)), "")</f>
        <v>1.0727916670806561</v>
      </c>
      <c r="V21" s="836"/>
      <c r="W21" s="836" t="str">
        <f>IF(ISNUMBER(INDEX(Database!$U$6:$U$197, MATCH($B21&amp;"% GDP", Database!$AD$6:$AD$197, 0))), INDEX(Database!$U$6:$U$197, MATCH($B21&amp;"% GDP", Database!$AD$6:$AD$197, 0)), "")</f>
        <v/>
      </c>
      <c r="X21" s="836">
        <f>IF(ISNUMBER(INDEX(Database!$W$6:$W$197, MATCH($B21&amp;"% GDP", Database!$AD$6:$AD$197, 0))), INDEX(Database!$W$6:$W$197, MATCH($B21&amp;"% GDP", Database!$AD$6:$AD$197, 0)), "")</f>
        <v>5.0779700687096874</v>
      </c>
      <c r="AB21" s="562"/>
    </row>
    <row r="22" spans="1:28">
      <c r="A22" s="559"/>
      <c r="B22" s="764" t="s">
        <v>11</v>
      </c>
      <c r="C22" s="831">
        <f>IF(ISNUMBER(INDEX(Database!$G$6:$G$197, MATCH($B22&amp;"USD bn", Database!$AD$6:$AD$197, 0))), INDEX(Database!$G$6:$G$197, MATCH($B22&amp;"USD bn", Database!$AD$6:$AD$197, 0)), "")</f>
        <v>710.64739339926814</v>
      </c>
      <c r="D22" s="832">
        <f>IF(ISNUMBER(INDEX(Database!$H$6:$H$197, MATCH($B22&amp;"USD bn", Database!$AD$6:$AD$197, 0))), INDEX(Database!$H$6:$H$197, MATCH($B22&amp;"USD bn", Database!$AD$6:$AD$197, 0)), "")</f>
        <v>21.302032387783935</v>
      </c>
      <c r="E22" s="832">
        <f>IF(ISNUMBER(INDEX(Database!$J$6:$J$197, MATCH($B22&amp;"USD bn", Database!$AD$6:$AD$197, 0))), INDEX(Database!$J$6:$J$197, MATCH($B22&amp;"USD bn", Database!$AD$6:$AD$197, 0)), "")</f>
        <v>689.34536101148421</v>
      </c>
      <c r="F22" s="833">
        <f>IF(ISNUMBER(INDEX(Database!$L$6:$L$197, MATCH($B22&amp;"USD bn", Database!$AD$6:$AD$197, 0))), INDEX(Database!$L$6:$L$197, MATCH($B22&amp;"USD bn", Database!$AD$6:$AD$197, 0)), "")</f>
        <v>231.8588559214578</v>
      </c>
      <c r="G22" s="832"/>
      <c r="H22" s="831">
        <f>IF(ISNUMBER(INDEX(Database!$P$6:$P$197, MATCH($B22&amp;"USD bn", Database!$AD$6:$AD$197, 0))), INDEX(Database!$P$6:$P$197, MATCH($B22&amp;"USD bn", Database!$AD$6:$AD$197, 0)), "")</f>
        <v>192.73267398471179</v>
      </c>
      <c r="I22" s="837" t="str">
        <f>IF(ISNUMBER(INDEX(Database!$Q$6:$Q$197, MATCH($B22&amp;"USD bn", Database!$AD$6:$AD$197, 0))), INDEX(Database!$Q$6:$Q$197, MATCH($B22&amp;"USD bn", Database!$AD$6:$AD$197, 0)), "")</f>
        <v/>
      </c>
      <c r="J22" s="837"/>
      <c r="K22" s="837">
        <f>IF(ISNUMBER(INDEX(Database!$U$6:$U$197, MATCH($B22&amp;"USD bn", Database!$AD$6:$AD$197, 0))), INDEX(Database!$U$6:$U$197, MATCH($B22&amp;"USD bn", Database!$AD$6:$AD$197, 0)), "")</f>
        <v>57.964713980364451</v>
      </c>
      <c r="L22" s="837">
        <f>IF(ISNUMBER(INDEX(Database!$W$6:$W$197, MATCH($B22&amp;"USD bn", Database!$AD$6:$AD$197, 0))), INDEX(Database!$W$6:$W$197, MATCH($B22&amp;"USD bn", Database!$AD$6:$AD$197, 0)), "")</f>
        <v>134.76796000434734</v>
      </c>
      <c r="M22" s="834"/>
      <c r="N22" s="834"/>
      <c r="O22" s="835">
        <f>IF(ISNUMBER(INDEX(Database!$G$6:$G$197, MATCH($B22&amp;"% GDP", Database!$AD$6:$AD$197, 0))), INDEX(Database!$G$6:$G$197, MATCH($B22&amp;"% GDP", Database!$AD$6:$AD$197, 0)), "")</f>
        <v>4.7801156546253365</v>
      </c>
      <c r="P22" s="836">
        <f>IF(ISNUMBER(INDEX(Database!$H$6:$H$197, MATCH($B22&amp;"% GDP", Database!$AD$6:$AD$197, 0))), INDEX(Database!$H$6:$H$197, MATCH($B22&amp;"% GDP", Database!$AD$6:$AD$197, 0)), "")</f>
        <v>0.14328650106646096</v>
      </c>
      <c r="Q22" s="836">
        <f>IF(ISNUMBER(INDEX(Database!$J$6:$J$197, MATCH($B22&amp;"% GDP", Database!$AD$6:$AD$197, 0))), INDEX(Database!$J$6:$J$197, MATCH($B22&amp;"% GDP", Database!$AD$6:$AD$197, 0)), "")</f>
        <v>4.6368291535588764</v>
      </c>
      <c r="R22" s="836">
        <f>IF(ISNUMBER(INDEX(Database!$L$6:$L$197, MATCH($B22&amp;"% GDP", Database!$AD$6:$AD$197, 0))), INDEX(Database!$L$6:$L$197, MATCH($B22&amp;"% GDP", Database!$AD$6:$AD$197, 0)), "")</f>
        <v>1.5595809639886906</v>
      </c>
      <c r="S22" s="836"/>
      <c r="T22" s="835">
        <f>IF(ISNUMBER(INDEX(Database!$P$6:$P$197, MATCH($B22&amp;"% GDP", Database!$AD$6:$AD$197, 0))), INDEX(Database!$P$6:$P$197, MATCH($B22&amp;"% GDP", Database!$AD$6:$AD$197, 0)), "")</f>
        <v>1.296401676315599</v>
      </c>
      <c r="U22" s="836" t="str">
        <f>IF(ISNUMBER(INDEX(Database!$Q$6:$Q$197, MATCH($B22&amp;"% GDP", Database!$AD$6:$AD$197, 0))), INDEX(Database!$Q$6:$Q$197, MATCH($B22&amp;"% GDP", Database!$AD$6:$AD$197, 0)), "")</f>
        <v/>
      </c>
      <c r="V22" s="836"/>
      <c r="W22" s="836">
        <f>IF(ISNUMBER(INDEX(Database!$U$6:$U$197, MATCH($B22&amp;"% GDP", Database!$AD$6:$AD$197, 0))), INDEX(Database!$U$6:$U$197, MATCH($B22&amp;"% GDP", Database!$AD$6:$AD$197, 0)), "")</f>
        <v>0.38989524099717265</v>
      </c>
      <c r="X22" s="836">
        <f>IF(ISNUMBER(INDEX(Database!$W$6:$W$197, MATCH($B22&amp;"% GDP", Database!$AD$6:$AD$197, 0))), INDEX(Database!$W$6:$W$197, MATCH($B22&amp;"% GDP", Database!$AD$6:$AD$197, 0)), "")</f>
        <v>0.90650643531842645</v>
      </c>
      <c r="AB22" s="562"/>
    </row>
    <row r="23" spans="1:28">
      <c r="A23" s="559"/>
      <c r="B23" s="764" t="s">
        <v>12</v>
      </c>
      <c r="C23" s="831">
        <f>IF(ISNUMBER(INDEX(Database!$G$6:$G$197, MATCH($B23&amp;"USD bn", Database!$AD$6:$AD$197, 0))), INDEX(Database!$G$6:$G$197, MATCH($B23&amp;"USD bn", Database!$AD$6:$AD$197, 0)), "")</f>
        <v>108.91796310307309</v>
      </c>
      <c r="D23" s="832">
        <f>IF(ISNUMBER(INDEX(Database!$H$6:$H$197, MATCH($B23&amp;"USD bn", Database!$AD$6:$AD$197, 0))), INDEX(Database!$H$6:$H$197, MATCH($B23&amp;"USD bn", Database!$AD$6:$AD$197, 0)), "")</f>
        <v>14.028015635197093</v>
      </c>
      <c r="E23" s="832">
        <f>IF(ISNUMBER(INDEX(Database!$J$6:$J$197, MATCH($B23&amp;"USD bn", Database!$AD$6:$AD$197, 0))), INDEX(Database!$J$6:$J$197, MATCH($B23&amp;"USD bn", Database!$AD$6:$AD$197, 0)), "")</f>
        <v>94.889947467875984</v>
      </c>
      <c r="F23" s="833">
        <f>IF(ISNUMBER(INDEX(Database!$L$6:$L$197, MATCH($B23&amp;"USD bn", Database!$AD$6:$AD$197, 0))), INDEX(Database!$L$6:$L$197, MATCH($B23&amp;"USD bn", Database!$AD$6:$AD$197, 0)), "")</f>
        <v>18.05320721758315</v>
      </c>
      <c r="G23" s="832"/>
      <c r="H23" s="831">
        <f>IF(ISNUMBER(INDEX(Database!$P$6:$P$197, MATCH($B23&amp;"USD bn", Database!$AD$6:$AD$197, 0))), INDEX(Database!$P$6:$P$197, MATCH($B23&amp;"USD bn", Database!$AD$6:$AD$197, 0)), "")</f>
        <v>165.59102232187649</v>
      </c>
      <c r="I23" s="837">
        <f>IF(ISNUMBER(INDEX(Database!$Q$6:$Q$197, MATCH($B23&amp;"USD bn", Database!$AD$6:$AD$197, 0))), INDEX(Database!$Q$6:$Q$197, MATCH($B23&amp;"USD bn", Database!$AD$6:$AD$197, 0)), "")</f>
        <v>8.6358998705005963</v>
      </c>
      <c r="J23" s="837"/>
      <c r="K23" s="837">
        <f>IF(ISNUMBER(INDEX(Database!$U$6:$U$197, MATCH($B23&amp;"USD bn", Database!$AD$6:$AD$197, 0))), INDEX(Database!$U$6:$U$197, MATCH($B23&amp;"USD bn", Database!$AD$6:$AD$197, 0)), "")</f>
        <v>140.78807121174921</v>
      </c>
      <c r="L23" s="837">
        <f>IF(ISNUMBER(INDEX(Database!$W$6:$W$197, MATCH($B23&amp;"USD bn", Database!$AD$6:$AD$197, 0))), INDEX(Database!$W$6:$W$197, MATCH($B23&amp;"USD bn", Database!$AD$6:$AD$197, 0)), "")</f>
        <v>16.167051239626701</v>
      </c>
      <c r="M23" s="834"/>
      <c r="N23" s="834"/>
      <c r="O23" s="835">
        <f>IF(ISNUMBER(INDEX(Database!$G$6:$G$197, MATCH($B23&amp;"% GDP", Database!$AD$6:$AD$197, 0))), INDEX(Database!$G$6:$G$197, MATCH($B23&amp;"% GDP", Database!$AD$6:$AD$197, 0)), "")</f>
        <v>4.0942849748831005</v>
      </c>
      <c r="P23" s="836">
        <f>IF(ISNUMBER(INDEX(Database!$H$6:$H$197, MATCH($B23&amp;"% GDP", Database!$AD$6:$AD$197, 0))), INDEX(Database!$H$6:$H$197, MATCH($B23&amp;"% GDP", Database!$AD$6:$AD$197, 0)), "")</f>
        <v>0.52732067334256061</v>
      </c>
      <c r="Q23" s="836">
        <f>IF(ISNUMBER(INDEX(Database!$J$6:$J$197, MATCH($B23&amp;"% GDP", Database!$AD$6:$AD$197, 0))), INDEX(Database!$J$6:$J$197, MATCH($B23&amp;"% GDP", Database!$AD$6:$AD$197, 0)), "")</f>
        <v>3.5669643015405401</v>
      </c>
      <c r="R23" s="836">
        <f>IF(ISNUMBER(INDEX(Database!$L$6:$L$197, MATCH($B23&amp;"% GDP", Database!$AD$6:$AD$197, 0))), INDEX(Database!$L$6:$L$197, MATCH($B23&amp;"% GDP", Database!$AD$6:$AD$197, 0)), "")</f>
        <v>0.67862979579826865</v>
      </c>
      <c r="S23" s="836"/>
      <c r="T23" s="835">
        <f>IF(ISNUMBER(INDEX(Database!$P$6:$P$197, MATCH($B23&amp;"% GDP", Database!$AD$6:$AD$197, 0))), INDEX(Database!$P$6:$P$197, MATCH($B23&amp;"% GDP", Database!$AD$6:$AD$197, 0)), "")</f>
        <v>6.2246558359377016</v>
      </c>
      <c r="U23" s="836">
        <f>IF(ISNUMBER(INDEX(Database!$Q$6:$Q$197, MATCH($B23&amp;"% GDP", Database!$AD$6:$AD$197, 0))), INDEX(Database!$Q$6:$Q$197, MATCH($B23&amp;"% GDP", Database!$AD$6:$AD$197, 0)), "")</f>
        <v>0.32462813366170912</v>
      </c>
      <c r="V23" s="836"/>
      <c r="W23" s="836">
        <f>IF(ISNUMBER(INDEX(Database!$U$6:$U$197, MATCH($B23&amp;"% GDP", Database!$AD$6:$AD$197, 0))), INDEX(Database!$U$6:$U$197, MATCH($B23&amp;"% GDP", Database!$AD$6:$AD$197, 0)), "")</f>
        <v>5.2922995269342588</v>
      </c>
      <c r="X23" s="836">
        <f>IF(ISNUMBER(INDEX(Database!$W$6:$W$197, MATCH($B23&amp;"% GDP", Database!$AD$6:$AD$197, 0))), INDEX(Database!$W$6:$W$197, MATCH($B23&amp;"% GDP", Database!$AD$6:$AD$197, 0)), "")</f>
        <v>0.60772817534173318</v>
      </c>
      <c r="AB23" s="562"/>
    </row>
    <row r="24" spans="1:28">
      <c r="A24" s="559"/>
      <c r="B24" s="764" t="s">
        <v>13</v>
      </c>
      <c r="C24" s="831">
        <f>IF(ISNUMBER(INDEX(Database!$G$6:$G$197, MATCH($B24&amp;"USD bn", Database!$AD$6:$AD$197, 0))), INDEX(Database!$G$6:$G$197, MATCH($B24&amp;"USD bn", Database!$AD$6:$AD$197, 0)), "")</f>
        <v>98.860320620644671</v>
      </c>
      <c r="D24" s="832">
        <f>IF(ISNUMBER(INDEX(Database!$H$6:$H$197, MATCH($B24&amp;"USD bn", Database!$AD$6:$AD$197, 0))), INDEX(Database!$H$6:$H$197, MATCH($B24&amp;"USD bn", Database!$AD$6:$AD$197, 0)), "")</f>
        <v>21.588685592667606</v>
      </c>
      <c r="E24" s="832">
        <f>IF(ISNUMBER(INDEX(Database!$J$6:$J$197, MATCH($B24&amp;"USD bn", Database!$AD$6:$AD$197, 0))), INDEX(Database!$J$6:$J$197, MATCH($B24&amp;"USD bn", Database!$AD$6:$AD$197, 0)), "")</f>
        <v>77.271635027977069</v>
      </c>
      <c r="F24" s="833" t="str">
        <f>IF(ISNUMBER(INDEX(Database!$L$6:$L$197, MATCH($B24&amp;"USD bn", Database!$AD$6:$AD$197, 0))), INDEX(Database!$L$6:$L$197, MATCH($B24&amp;"USD bn", Database!$AD$6:$AD$197, 0)), "")</f>
        <v/>
      </c>
      <c r="G24" s="832"/>
      <c r="H24" s="831">
        <f>IF(ISNUMBER(INDEX(Database!$P$6:$P$197, MATCH($B24&amp;"USD bn", Database!$AD$6:$AD$197, 0))), INDEX(Database!$P$6:$P$197, MATCH($B24&amp;"USD bn", Database!$AD$6:$AD$197, 0)), "")</f>
        <v>9.2787751879441149</v>
      </c>
      <c r="I24" s="837">
        <f>IF(ISNUMBER(INDEX(Database!$Q$6:$Q$197, MATCH($B24&amp;"USD bn", Database!$AD$6:$AD$197, 0))), INDEX(Database!$Q$6:$Q$197, MATCH($B24&amp;"USD bn", Database!$AD$6:$AD$197, 0)), "")</f>
        <v>2.4132367580927534</v>
      </c>
      <c r="J24" s="837"/>
      <c r="K24" s="837">
        <f>IF(ISNUMBER(INDEX(Database!$U$6:$U$197, MATCH($B24&amp;"USD bn", Database!$AD$6:$AD$197, 0))), INDEX(Database!$U$6:$U$197, MATCH($B24&amp;"USD bn", Database!$AD$6:$AD$197, 0)), "")</f>
        <v>6.8655384298513615</v>
      </c>
      <c r="L24" s="837" t="str">
        <f>IF(ISNUMBER(INDEX(Database!$W$6:$W$197, MATCH($B24&amp;"USD bn", Database!$AD$6:$AD$197, 0))), INDEX(Database!$W$6:$W$197, MATCH($B24&amp;"USD bn", Database!$AD$6:$AD$197, 0)), "")</f>
        <v/>
      </c>
      <c r="M24" s="834"/>
      <c r="N24" s="834"/>
      <c r="O24" s="835">
        <f>IF(ISNUMBER(INDEX(Database!$G$6:$G$197, MATCH($B24&amp;"% GDP", Database!$AD$6:$AD$197, 0))), INDEX(Database!$G$6:$G$197, MATCH($B24&amp;"% GDP", Database!$AD$6:$AD$197, 0)), "")</f>
        <v>9.3296348167315557</v>
      </c>
      <c r="P24" s="836">
        <f>IF(ISNUMBER(INDEX(Database!$H$6:$H$197, MATCH($B24&amp;"% GDP", Database!$AD$6:$AD$197, 0))), INDEX(Database!$H$6:$H$197, MATCH($B24&amp;"% GDP", Database!$AD$6:$AD$197, 0)), "")</f>
        <v>2.037364955811825</v>
      </c>
      <c r="Q24" s="836">
        <f>IF(ISNUMBER(INDEX(Database!$J$6:$J$197, MATCH($B24&amp;"% GDP", Database!$AD$6:$AD$197, 0))), INDEX(Database!$J$6:$J$197, MATCH($B24&amp;"% GDP", Database!$AD$6:$AD$197, 0)), "")</f>
        <v>7.2922698609197294</v>
      </c>
      <c r="R24" s="836" t="str">
        <f>IF(ISNUMBER(INDEX(Database!$L$6:$L$197, MATCH($B24&amp;"% GDP", Database!$AD$6:$AD$197, 0))), INDEX(Database!$L$6:$L$197, MATCH($B24&amp;"% GDP", Database!$AD$6:$AD$197, 0)), "")</f>
        <v/>
      </c>
      <c r="S24" s="836"/>
      <c r="T24" s="835">
        <f>IF(ISNUMBER(INDEX(Database!$P$6:$P$197, MATCH($B24&amp;"% GDP", Database!$AD$6:$AD$197, 0))), INDEX(Database!$P$6:$P$197, MATCH($B24&amp;"% GDP", Database!$AD$6:$AD$197, 0)), "")</f>
        <v>0.87565550573371964</v>
      </c>
      <c r="U24" s="836">
        <f>IF(ISNUMBER(INDEX(Database!$Q$6:$Q$197, MATCH($B24&amp;"% GDP", Database!$AD$6:$AD$197, 0))), INDEX(Database!$Q$6:$Q$197, MATCH($B24&amp;"% GDP", Database!$AD$6:$AD$197, 0)), "")</f>
        <v>0.22774170200917679</v>
      </c>
      <c r="V24" s="836"/>
      <c r="W24" s="836">
        <f>IF(ISNUMBER(INDEX(Database!$U$6:$U$197, MATCH($B24&amp;"% GDP", Database!$AD$6:$AD$197, 0))), INDEX(Database!$U$6:$U$197, MATCH($B24&amp;"% GDP", Database!$AD$6:$AD$197, 0)), "")</f>
        <v>0.64791380372454288</v>
      </c>
      <c r="X24" s="836" t="str">
        <f>IF(ISNUMBER(INDEX(Database!$W$6:$W$197, MATCH($B24&amp;"% GDP", Database!$AD$6:$AD$197, 0))), INDEX(Database!$W$6:$W$197, MATCH($B24&amp;"% GDP", Database!$AD$6:$AD$197, 0)), "")</f>
        <v/>
      </c>
      <c r="AB24" s="562"/>
    </row>
    <row r="25" spans="1:28">
      <c r="B25" s="764" t="s">
        <v>14</v>
      </c>
      <c r="C25" s="831">
        <f>IF(ISNUMBER(INDEX(Database!$G$6:$G$197, MATCH($B25&amp;"USD bn", Database!$AD$6:$AD$197, 0))), INDEX(Database!$G$6:$G$197, MATCH($B25&amp;"USD bn", Database!$AD$6:$AD$197, 0)), "")</f>
        <v>7.0279601888550927</v>
      </c>
      <c r="D25" s="832">
        <f>IF(ISNUMBER(INDEX(Database!$H$6:$H$197, MATCH($B25&amp;"USD bn", Database!$AD$6:$AD$197, 0))), INDEX(Database!$H$6:$H$197, MATCH($B25&amp;"USD bn", Database!$AD$6:$AD$197, 0)), "")</f>
        <v>4.8032151754294405</v>
      </c>
      <c r="E25" s="832">
        <f>IF(ISNUMBER(INDEX(Database!$J$6:$J$197, MATCH($B25&amp;"USD bn", Database!$AD$6:$AD$197, 0))), INDEX(Database!$J$6:$J$197, MATCH($B25&amp;"USD bn", Database!$AD$6:$AD$197, 0)), "")</f>
        <v>2.2247450134256517</v>
      </c>
      <c r="F25" s="833">
        <f>IF(ISNUMBER(INDEX(Database!$L$6:$L$197, MATCH($B25&amp;"USD bn", Database!$AD$6:$AD$197, 0))), INDEX(Database!$L$6:$L$197, MATCH($B25&amp;"USD bn", Database!$AD$6:$AD$197, 0)), "")</f>
        <v>4.2819360091037648</v>
      </c>
      <c r="G25" s="832"/>
      <c r="H25" s="831">
        <f>IF(ISNUMBER(INDEX(Database!$P$6:$P$197, MATCH($B25&amp;"USD bn", Database!$AD$6:$AD$197, 0))), INDEX(Database!$P$6:$P$197, MATCH($B25&amp;"USD bn", Database!$AD$6:$AD$197, 0)), "")</f>
        <v>13.41362997634462</v>
      </c>
      <c r="I25" s="837">
        <f>IF(ISNUMBER(INDEX(Database!$Q$6:$Q$197, MATCH($B25&amp;"USD bn", Database!$AD$6:$AD$197, 0))), INDEX(Database!$Q$6:$Q$197, MATCH($B25&amp;"USD bn", Database!$AD$6:$AD$197, 0)), "")</f>
        <v>0.89362142798687272</v>
      </c>
      <c r="J25" s="837"/>
      <c r="K25" s="837">
        <f>IF(ISNUMBER(INDEX(Database!$U$6:$U$197, MATCH($B25&amp;"USD bn", Database!$AD$6:$AD$197, 0))), INDEX(Database!$U$6:$U$197, MATCH($B25&amp;"USD bn", Database!$AD$6:$AD$197, 0)), "")</f>
        <v>0.27925669624589772</v>
      </c>
      <c r="L25" s="837">
        <f>IF(ISNUMBER(INDEX(Database!$W$6:$W$197, MATCH($B25&amp;"USD bn", Database!$AD$6:$AD$197, 0))), INDEX(Database!$W$6:$W$197, MATCH($B25&amp;"USD bn", Database!$AD$6:$AD$197, 0)), "")</f>
        <v>12.240751852111851</v>
      </c>
      <c r="M25" s="834"/>
      <c r="N25" s="834"/>
      <c r="O25" s="835">
        <f>IF(ISNUMBER(INDEX(Database!$G$6:$G$197, MATCH($B25&amp;"% GDP", Database!$AD$6:$AD$197, 0))), INDEX(Database!$G$6:$G$197, MATCH($B25&amp;"% GDP", Database!$AD$6:$AD$197, 0)), "")</f>
        <v>0.65442396745349374</v>
      </c>
      <c r="P25" s="836">
        <f>IF(ISNUMBER(INDEX(Database!$H$6:$H$197, MATCH($B25&amp;"% GDP", Database!$AD$6:$AD$197, 0))), INDEX(Database!$H$6:$H$197, MATCH($B25&amp;"% GDP", Database!$AD$6:$AD$197, 0)), "")</f>
        <v>0.44726194331920904</v>
      </c>
      <c r="Q25" s="836">
        <f>IF(ISNUMBER(INDEX(Database!$J$6:$J$197, MATCH($B25&amp;"% GDP", Database!$AD$6:$AD$197, 0))), INDEX(Database!$J$6:$J$197, MATCH($B25&amp;"% GDP", Database!$AD$6:$AD$197, 0)), "")</f>
        <v>0.20716202413428478</v>
      </c>
      <c r="R25" s="836">
        <f>IF(ISNUMBER(INDEX(Database!$L$6:$L$197, MATCH($B25&amp;"% GDP", Database!$AD$6:$AD$197, 0))), INDEX(Database!$L$6:$L$197, MATCH($B25&amp;"% GDP", Database!$AD$6:$AD$197, 0)), "")</f>
        <v>0.39872188745510878</v>
      </c>
      <c r="S25" s="836"/>
      <c r="T25" s="835">
        <f>IF(ISNUMBER(INDEX(Database!$P$6:$P$197, MATCH($B25&amp;"% GDP", Database!$AD$6:$AD$197, 0))), INDEX(Database!$P$6:$P$197, MATCH($B25&amp;"% GDP", Database!$AD$6:$AD$197, 0)), "")</f>
        <v>1.2490396517887212</v>
      </c>
      <c r="U25" s="836">
        <f>IF(ISNUMBER(INDEX(Database!$Q$6:$Q$197, MATCH($B25&amp;"% GDP", Database!$AD$6:$AD$197, 0))), INDEX(Database!$Q$6:$Q$197, MATCH($B25&amp;"% GDP", Database!$AD$6:$AD$197, 0)), "")</f>
        <v>8.3211524338457493E-2</v>
      </c>
      <c r="V25" s="836"/>
      <c r="W25" s="836">
        <f>IF(ISNUMBER(INDEX(Database!$U$6:$U$197, MATCH($B25&amp;"% GDP", Database!$AD$6:$AD$197, 0))), INDEX(Database!$U$6:$U$197, MATCH($B25&amp;"% GDP", Database!$AD$6:$AD$197, 0)), "")</f>
        <v>2.6003601355767965E-2</v>
      </c>
      <c r="X25" s="836">
        <f>IF(ISNUMBER(INDEX(Database!$W$6:$W$197, MATCH($B25&amp;"% GDP", Database!$AD$6:$AD$197, 0))), INDEX(Database!$W$6:$W$197, MATCH($B25&amp;"% GDP", Database!$AD$6:$AD$197, 0)), "")</f>
        <v>1.1398245260944957</v>
      </c>
      <c r="AB25" s="562"/>
    </row>
    <row r="26" spans="1:28">
      <c r="B26" s="764" t="s">
        <v>15</v>
      </c>
      <c r="C26" s="831">
        <f>IF(ISNUMBER(INDEX(Database!$G$6:$G$197, MATCH($B26&amp;"USD bn", Database!$AD$6:$AD$197, 0))), INDEX(Database!$G$6:$G$197, MATCH($B26&amp;"USD bn", Database!$AD$6:$AD$197, 0)), "")</f>
        <v>74.006320564062733</v>
      </c>
      <c r="D26" s="832">
        <f>IF(ISNUMBER(INDEX(Database!$H$6:$H$197, MATCH($B26&amp;"USD bn", Database!$AD$6:$AD$197, 0))), INDEX(Database!$H$6:$H$197, MATCH($B26&amp;"USD bn", Database!$AD$6:$AD$197, 0)), "")</f>
        <v>10.712532393938853</v>
      </c>
      <c r="E26" s="832">
        <f>IF(ISNUMBER(INDEX(Database!$J$6:$J$197, MATCH($B26&amp;"USD bn", Database!$AD$6:$AD$197, 0))), INDEX(Database!$J$6:$J$197, MATCH($B26&amp;"USD bn", Database!$AD$6:$AD$197, 0)), "")</f>
        <v>63.293788170123882</v>
      </c>
      <c r="F26" s="833">
        <f>IF(ISNUMBER(INDEX(Database!$L$6:$L$197, MATCH($B26&amp;"USD bn", Database!$AD$6:$AD$197, 0))), INDEX(Database!$L$6:$L$197, MATCH($B26&amp;"USD bn", Database!$AD$6:$AD$197, 0)), "")</f>
        <v>6.3584063241443518</v>
      </c>
      <c r="G26" s="832"/>
      <c r="H26" s="831">
        <f>IF(ISNUMBER(INDEX(Database!$P$6:$P$197, MATCH($B26&amp;"USD bn", Database!$AD$6:$AD$197, 0))), INDEX(Database!$P$6:$P$197, MATCH($B26&amp;"USD bn", Database!$AD$6:$AD$197, 0)), "")</f>
        <v>21.660049369422172</v>
      </c>
      <c r="I26" s="837">
        <f>IF(ISNUMBER(INDEX(Database!$Q$6:$Q$197, MATCH($B26&amp;"USD bn", Database!$AD$6:$AD$197, 0))), INDEX(Database!$Q$6:$Q$197, MATCH($B26&amp;"USD bn", Database!$AD$6:$AD$197, 0)), "")</f>
        <v>7.837426925630103</v>
      </c>
      <c r="J26" s="837"/>
      <c r="K26" s="837">
        <f>IF(ISNUMBER(INDEX(Database!$U$6:$U$197, MATCH($B26&amp;"USD bn", Database!$AD$6:$AD$197, 0))), INDEX(Database!$U$6:$U$197, MATCH($B26&amp;"USD bn", Database!$AD$6:$AD$197, 0)), "")</f>
        <v>6.9113112218960344</v>
      </c>
      <c r="L26" s="837">
        <f>IF(ISNUMBER(INDEX(Database!$W$6:$W$197, MATCH($B26&amp;"USD bn", Database!$AD$6:$AD$197, 0))), INDEX(Database!$W$6:$W$197, MATCH($B26&amp;"USD bn", Database!$AD$6:$AD$197, 0)), "")</f>
        <v>6.9113112218960344</v>
      </c>
      <c r="M26" s="834"/>
      <c r="N26" s="834"/>
      <c r="O26" s="835">
        <f>IF(ISNUMBER(INDEX(Database!$G$6:$G$197, MATCH($B26&amp;"% GDP", Database!$AD$6:$AD$197, 0))), INDEX(Database!$G$6:$G$197, MATCH($B26&amp;"% GDP", Database!$AD$6:$AD$197, 0)), "")</f>
        <v>5.0052604782800296</v>
      </c>
      <c r="P26" s="836">
        <f>IF(ISNUMBER(INDEX(Database!$H$6:$H$197, MATCH($B26&amp;"% GDP", Database!$AD$6:$AD$197, 0))), INDEX(Database!$H$6:$H$197, MATCH($B26&amp;"% GDP", Database!$AD$6:$AD$197, 0)), "")</f>
        <v>0.72451940057284703</v>
      </c>
      <c r="Q26" s="836">
        <f>IF(ISNUMBER(INDEX(Database!$J$6:$J$197, MATCH($B26&amp;"% GDP", Database!$AD$6:$AD$197, 0))), INDEX(Database!$J$6:$J$197, MATCH($B26&amp;"% GDP", Database!$AD$6:$AD$197, 0)), "")</f>
        <v>4.2807410777071828</v>
      </c>
      <c r="R26" s="836">
        <f>IF(ISNUMBER(INDEX(Database!$L$6:$L$197, MATCH($B26&amp;"% GDP", Database!$AD$6:$AD$197, 0))), INDEX(Database!$L$6:$L$197, MATCH($B26&amp;"% GDP", Database!$AD$6:$AD$197, 0)), "")</f>
        <v>0.43003732163033498</v>
      </c>
      <c r="S26" s="836"/>
      <c r="T26" s="835">
        <f>IF(ISNUMBER(INDEX(Database!$P$6:$P$197, MATCH($B26&amp;"% GDP", Database!$AD$6:$AD$197, 0))), INDEX(Database!$P$6:$P$197, MATCH($B26&amp;"% GDP", Database!$AD$6:$AD$197, 0)), "")</f>
        <v>1.464931484771163</v>
      </c>
      <c r="U26" s="836">
        <f>IF(ISNUMBER(INDEX(Database!$Q$6:$Q$197, MATCH($B26&amp;"% GDP", Database!$AD$6:$AD$197, 0))), INDEX(Database!$Q$6:$Q$197, MATCH($B26&amp;"% GDP", Database!$AD$6:$AD$197, 0)), "")</f>
        <v>0.53006774209652163</v>
      </c>
      <c r="V26" s="836"/>
      <c r="W26" s="836">
        <f>IF(ISNUMBER(INDEX(Database!$U$6:$U$197, MATCH($B26&amp;"% GDP", Database!$AD$6:$AD$197, 0))), INDEX(Database!$U$6:$U$197, MATCH($B26&amp;"% GDP", Database!$AD$6:$AD$197, 0)), "")</f>
        <v>0.46743187133732073</v>
      </c>
      <c r="X26" s="836">
        <f>IF(ISNUMBER(INDEX(Database!$W$6:$W$197, MATCH($B26&amp;"% GDP", Database!$AD$6:$AD$197, 0))), INDEX(Database!$W$6:$W$197, MATCH($B26&amp;"% GDP", Database!$AD$6:$AD$197, 0)), "")</f>
        <v>0.46743187133732073</v>
      </c>
      <c r="AB26" s="562"/>
    </row>
    <row r="27" spans="1:28">
      <c r="B27" s="764" t="s">
        <v>16</v>
      </c>
      <c r="C27" s="831">
        <f>IF(ISNUMBER(INDEX(Database!$G$6:$G$197, MATCH($B27&amp;"USD bn", Database!$AD$6:$AD$197, 0))), INDEX(Database!$G$6:$G$197, MATCH($B27&amp;"USD bn", Database!$AD$6:$AD$197, 0)), "")</f>
        <v>18.026666666666664</v>
      </c>
      <c r="D27" s="832">
        <f>IF(ISNUMBER(INDEX(Database!$H$6:$H$197, MATCH($B27&amp;"USD bn", Database!$AD$6:$AD$197, 0))), INDEX(Database!$H$6:$H$197, MATCH($B27&amp;"USD bn", Database!$AD$6:$AD$197, 0)), "")</f>
        <v>14.4</v>
      </c>
      <c r="E27" s="832">
        <f>IF(ISNUMBER(INDEX(Database!$J$6:$J$197, MATCH($B27&amp;"USD bn", Database!$AD$6:$AD$197, 0))), INDEX(Database!$J$6:$J$197, MATCH($B27&amp;"USD bn", Database!$AD$6:$AD$197, 0)), "")</f>
        <v>3.6266666666666665</v>
      </c>
      <c r="F27" s="833">
        <f>IF(ISNUMBER(INDEX(Database!$L$6:$L$197, MATCH($B27&amp;"USD bn", Database!$AD$6:$AD$197, 0))), INDEX(Database!$L$6:$L$197, MATCH($B27&amp;"USD bn", Database!$AD$6:$AD$197, 0)), "")</f>
        <v>11.333333333333334</v>
      </c>
      <c r="G27" s="832"/>
      <c r="H27" s="831">
        <f>IF(ISNUMBER(INDEX(Database!$P$6:$P$197, MATCH($B27&amp;"USD bn", Database!$AD$6:$AD$197, 0))), INDEX(Database!$P$6:$P$197, MATCH($B27&amp;"USD bn", Database!$AD$6:$AD$197, 0)), "")</f>
        <v>6.8533333333333335</v>
      </c>
      <c r="I27" s="837">
        <f>IF(ISNUMBER(INDEX(Database!$Q$6:$Q$197, MATCH($B27&amp;"USD bn", Database!$AD$6:$AD$197, 0))), INDEX(Database!$Q$6:$Q$197, MATCH($B27&amp;"USD bn", Database!$AD$6:$AD$197, 0)), "")</f>
        <v>6.8533333333333335</v>
      </c>
      <c r="J27" s="837"/>
      <c r="K27" s="837" t="str">
        <f>IF(ISNUMBER(INDEX(Database!$U$6:$U$197, MATCH($B27&amp;"USD bn", Database!$AD$6:$AD$197, 0))), INDEX(Database!$U$6:$U$197, MATCH($B27&amp;"USD bn", Database!$AD$6:$AD$197, 0)), "")</f>
        <v/>
      </c>
      <c r="L27" s="837" t="str">
        <f>IF(ISNUMBER(INDEX(Database!$W$6:$W$197, MATCH($B27&amp;"USD bn", Database!$AD$6:$AD$197, 0))), INDEX(Database!$W$6:$W$197, MATCH($B27&amp;"USD bn", Database!$AD$6:$AD$197, 0)), "")</f>
        <v/>
      </c>
      <c r="M27" s="834"/>
      <c r="N27" s="834"/>
      <c r="O27" s="835">
        <f>IF(ISNUMBER(INDEX(Database!$G$6:$G$197, MATCH($B27&amp;"% GDP", Database!$AD$6:$AD$197, 0))), INDEX(Database!$G$6:$G$197, MATCH($B27&amp;"% GDP", Database!$AD$6:$AD$197, 0)), "")</f>
        <v>2.5748045471962433</v>
      </c>
      <c r="P27" s="836">
        <f>IF(ISNUMBER(INDEX(Database!$H$6:$H$197, MATCH($B27&amp;"% GDP", Database!$AD$6:$AD$197, 0))), INDEX(Database!$H$6:$H$197, MATCH($B27&amp;"% GDP", Database!$AD$6:$AD$197, 0)), "")</f>
        <v>2.0567965317839816</v>
      </c>
      <c r="Q27" s="836">
        <f>IF(ISNUMBER(INDEX(Database!$J$6:$J$197, MATCH($B27&amp;"% GDP", Database!$AD$6:$AD$197, 0))), INDEX(Database!$J$6:$J$197, MATCH($B27&amp;"% GDP", Database!$AD$6:$AD$197, 0)), "")</f>
        <v>0.51800801541226205</v>
      </c>
      <c r="R27" s="836">
        <f>IF(ISNUMBER(INDEX(Database!$L$6:$L$197, MATCH($B27&amp;"% GDP", Database!$AD$6:$AD$197, 0))), INDEX(Database!$L$6:$L$197, MATCH($B27&amp;"% GDP", Database!$AD$6:$AD$197, 0)), "")</f>
        <v>1.6187750329433777</v>
      </c>
      <c r="S27" s="836"/>
      <c r="T27" s="835">
        <f>IF(ISNUMBER(INDEX(Database!$P$6:$P$197, MATCH($B27&amp;"% GDP", Database!$AD$6:$AD$197, 0))), INDEX(Database!$P$6:$P$197, MATCH($B27&amp;"% GDP", Database!$AD$6:$AD$197, 0)), "")</f>
        <v>0.97888278462693656</v>
      </c>
      <c r="U27" s="836">
        <f>IF(ISNUMBER(INDEX(Database!$Q$6:$Q$197, MATCH($B27&amp;"% GDP", Database!$AD$6:$AD$197, 0))), INDEX(Database!$Q$6:$Q$197, MATCH($B27&amp;"% GDP", Database!$AD$6:$AD$197, 0)), "")</f>
        <v>0.97888278462693656</v>
      </c>
      <c r="V27" s="836"/>
      <c r="W27" s="836" t="str">
        <f>IF(ISNUMBER(INDEX(Database!$U$6:$U$197, MATCH($B27&amp;"% GDP", Database!$AD$6:$AD$197, 0))), INDEX(Database!$U$6:$U$197, MATCH($B27&amp;"% GDP", Database!$AD$6:$AD$197, 0)), "")</f>
        <v/>
      </c>
      <c r="X27" s="836" t="str">
        <f>IF(ISNUMBER(INDEX(Database!$W$6:$W$197, MATCH($B27&amp;"% GDP", Database!$AD$6:$AD$197, 0))), INDEX(Database!$W$6:$W$197, MATCH($B27&amp;"% GDP", Database!$AD$6:$AD$197, 0)), "")</f>
        <v/>
      </c>
      <c r="AB27" s="562"/>
    </row>
    <row r="28" spans="1:28">
      <c r="B28" s="764" t="s">
        <v>17</v>
      </c>
      <c r="C28" s="831">
        <f>IF(ISNUMBER(INDEX(Database!$G$6:$G$197, MATCH($B28&amp;"USD bn", Database!$AD$6:$AD$197, 0))), INDEX(Database!$G$6:$G$197, MATCH($B28&amp;"USD bn", Database!$AD$6:$AD$197, 0)), "")</f>
        <v>17.693238243228844</v>
      </c>
      <c r="D28" s="832">
        <f>IF(ISNUMBER(INDEX(Database!$H$6:$H$197, MATCH($B28&amp;"USD bn", Database!$AD$6:$AD$197, 0))), INDEX(Database!$H$6:$H$197, MATCH($B28&amp;"USD bn", Database!$AD$6:$AD$197, 0)), "")</f>
        <v>2.3262994325975441</v>
      </c>
      <c r="E28" s="832">
        <f>IF(ISNUMBER(INDEX(Database!$J$6:$J$197, MATCH($B28&amp;"USD bn", Database!$AD$6:$AD$197, 0))), INDEX(Database!$J$6:$J$197, MATCH($B28&amp;"USD bn", Database!$AD$6:$AD$197, 0)), "")</f>
        <v>15.366938810631298</v>
      </c>
      <c r="F28" s="833">
        <f>IF(ISNUMBER(INDEX(Database!$L$6:$L$197, MATCH($B28&amp;"USD bn", Database!$AD$6:$AD$197, 0))), INDEX(Database!$L$6:$L$197, MATCH($B28&amp;"USD bn", Database!$AD$6:$AD$197, 0)), "")</f>
        <v>2.6725110975010953</v>
      </c>
      <c r="G28" s="832"/>
      <c r="H28" s="831">
        <f>IF(ISNUMBER(INDEX(Database!$P$6:$P$197, MATCH($B28&amp;"USD bn", Database!$AD$6:$AD$197, 0))), INDEX(Database!$P$6:$P$197, MATCH($B28&amp;"USD bn", Database!$AD$6:$AD$197, 0)), "")</f>
        <v>12.32999438165278</v>
      </c>
      <c r="I28" s="837" t="str">
        <f>IF(ISNUMBER(INDEX(Database!$Q$6:$Q$197, MATCH($B28&amp;"USD bn", Database!$AD$6:$AD$197, 0))), INDEX(Database!$Q$6:$Q$197, MATCH($B28&amp;"USD bn", Database!$AD$6:$AD$197, 0)), "")</f>
        <v/>
      </c>
      <c r="J28" s="837"/>
      <c r="K28" s="837">
        <f>IF(ISNUMBER(INDEX(Database!$U$6:$U$197, MATCH($B28&amp;"USD bn", Database!$AD$6:$AD$197, 0))), INDEX(Database!$U$6:$U$197, MATCH($B28&amp;"USD bn", Database!$AD$6:$AD$197, 0)), "")</f>
        <v>12.147777715914069</v>
      </c>
      <c r="L28" s="837">
        <f>IF(ISNUMBER(INDEX(Database!$W$6:$W$197, MATCH($B28&amp;"USD bn", Database!$AD$6:$AD$197, 0))), INDEX(Database!$W$6:$W$197, MATCH($B28&amp;"USD bn", Database!$AD$6:$AD$197, 0)), "")</f>
        <v>0.18221666573871104</v>
      </c>
      <c r="M28" s="834"/>
      <c r="N28" s="834"/>
      <c r="O28" s="835">
        <f>IF(ISNUMBER(INDEX(Database!$G$6:$G$197, MATCH($B28&amp;"% GDP", Database!$AD$6:$AD$197, 0))), INDEX(Database!$G$6:$G$197, MATCH($B28&amp;"% GDP", Database!$AD$6:$AD$197, 0)), "")</f>
        <v>5.2761463161134641</v>
      </c>
      <c r="P28" s="836">
        <f>IF(ISNUMBER(INDEX(Database!$H$6:$H$197, MATCH($B28&amp;"% GDP", Database!$AD$6:$AD$197, 0))), INDEX(Database!$H$6:$H$197, MATCH($B28&amp;"% GDP", Database!$AD$6:$AD$197, 0)), "")</f>
        <v>0.69370547170321195</v>
      </c>
      <c r="Q28" s="836">
        <f>IF(ISNUMBER(INDEX(Database!$J$6:$J$197, MATCH($B28&amp;"% GDP", Database!$AD$6:$AD$197, 0))), INDEX(Database!$J$6:$J$197, MATCH($B28&amp;"% GDP", Database!$AD$6:$AD$197, 0)), "")</f>
        <v>4.582440844410252</v>
      </c>
      <c r="R28" s="836">
        <f>IF(ISNUMBER(INDEX(Database!$L$6:$L$197, MATCH($B28&amp;"% GDP", Database!$AD$6:$AD$197, 0))), INDEX(Database!$L$6:$L$197, MATCH($B28&amp;"% GDP", Database!$AD$6:$AD$197, 0)), "")</f>
        <v>0.88478224805071415</v>
      </c>
      <c r="S28" s="836"/>
      <c r="T28" s="835">
        <f>IF(ISNUMBER(INDEX(Database!$P$6:$P$197, MATCH($B28&amp;"% GDP", Database!$AD$6:$AD$197, 0))), INDEX(Database!$P$6:$P$197, MATCH($B28&amp;"% GDP", Database!$AD$6:$AD$197, 0)), "")</f>
        <v>4.0820635535067034</v>
      </c>
      <c r="U28" s="836" t="str">
        <f>IF(ISNUMBER(INDEX(Database!$Q$6:$Q$197, MATCH($B28&amp;"% GDP", Database!$AD$6:$AD$197, 0))), INDEX(Database!$Q$6:$Q$197, MATCH($B28&amp;"% GDP", Database!$AD$6:$AD$197, 0)), "")</f>
        <v/>
      </c>
      <c r="V28" s="836"/>
      <c r="W28" s="836">
        <f>IF(ISNUMBER(INDEX(Database!$U$6:$U$197, MATCH($B28&amp;"% GDP", Database!$AD$6:$AD$197, 0))), INDEX(Database!$U$6:$U$197, MATCH($B28&amp;"% GDP", Database!$AD$6:$AD$197, 0)), "")</f>
        <v>4.0217374911396089</v>
      </c>
      <c r="X28" s="836">
        <f>IF(ISNUMBER(INDEX(Database!$W$6:$W$197, MATCH($B28&amp;"% GDP", Database!$AD$6:$AD$197, 0))), INDEX(Database!$W$6:$W$197, MATCH($B28&amp;"% GDP", Database!$AD$6:$AD$197, 0)), "")</f>
        <v>6.032606236709414E-2</v>
      </c>
      <c r="AB28" s="562"/>
    </row>
    <row r="29" spans="1:28">
      <c r="B29" s="764" t="s">
        <v>18</v>
      </c>
      <c r="C29" s="831">
        <f>IF(ISNUMBER(INDEX(Database!$G$6:$G$197, MATCH($B29&amp;"USD bn", Database!$AD$6:$AD$197, 0))), INDEX(Database!$G$6:$G$197, MATCH($B29&amp;"USD bn", Database!$AD$6:$AD$197, 0)), "")</f>
        <v>25.234121210982789</v>
      </c>
      <c r="D29" s="832">
        <f>IF(ISNUMBER(INDEX(Database!$H$6:$H$197, MATCH($B29&amp;"USD bn", Database!$AD$6:$AD$197, 0))), INDEX(Database!$H$6:$H$197, MATCH($B29&amp;"USD bn", Database!$AD$6:$AD$197, 0)), "")</f>
        <v>2.7673372045961901</v>
      </c>
      <c r="E29" s="832">
        <f>IF(ISNUMBER(INDEX(Database!$J$6:$J$197, MATCH($B29&amp;"USD bn", Database!$AD$6:$AD$197, 0))), INDEX(Database!$J$6:$J$197, MATCH($B29&amp;"USD bn", Database!$AD$6:$AD$197, 0)), "")</f>
        <v>22.466784006386597</v>
      </c>
      <c r="F29" s="833">
        <f>IF(ISNUMBER(INDEX(Database!$L$6:$L$197, MATCH($B29&amp;"USD bn", Database!$AD$6:$AD$197, 0))), INDEX(Database!$L$6:$L$197, MATCH($B29&amp;"USD bn", Database!$AD$6:$AD$197, 0)), "")</f>
        <v>10.01376658570374</v>
      </c>
      <c r="G29" s="832"/>
      <c r="H29" s="831">
        <f>IF(ISNUMBER(INDEX(Database!$P$6:$P$197, MATCH($B29&amp;"USD bn", Database!$AD$6:$AD$197, 0))), INDEX(Database!$P$6:$P$197, MATCH($B29&amp;"USD bn", Database!$AD$6:$AD$197, 0)), "")</f>
        <v>69.354605612096279</v>
      </c>
      <c r="I29" s="837">
        <f>IF(ISNUMBER(INDEX(Database!$Q$6:$Q$197, MATCH($B29&amp;"USD bn", Database!$AD$6:$AD$197, 0))), INDEX(Database!$Q$6:$Q$197, MATCH($B29&amp;"USD bn", Database!$AD$6:$AD$197, 0)), "")</f>
        <v>2.995571200851546</v>
      </c>
      <c r="J29" s="837"/>
      <c r="K29" s="837">
        <f>IF(ISNUMBER(INDEX(Database!$U$6:$U$197, MATCH($B29&amp;"USD bn", Database!$AD$6:$AD$197, 0))), INDEX(Database!$U$6:$U$197, MATCH($B29&amp;"USD bn", Database!$AD$6:$AD$197, 0)), "")</f>
        <v>45.932091746390377</v>
      </c>
      <c r="L29" s="837">
        <f>IF(ISNUMBER(INDEX(Database!$W$6:$W$197, MATCH($B29&amp;"USD bn", Database!$AD$6:$AD$197, 0))), INDEX(Database!$W$6:$W$197, MATCH($B29&amp;"USD bn", Database!$AD$6:$AD$197, 0)), "")</f>
        <v>20.426942664854352</v>
      </c>
      <c r="M29" s="834"/>
      <c r="N29" s="834"/>
      <c r="O29" s="835">
        <f>IF(ISNUMBER(INDEX(Database!$G$6:$G$197, MATCH($B29&amp;"% GDP", Database!$AD$6:$AD$197, 0))), INDEX(Database!$G$6:$G$197, MATCH($B29&amp;"% GDP", Database!$AD$6:$AD$197, 0)), "")</f>
        <v>3.5051335544057456</v>
      </c>
      <c r="P29" s="836">
        <f>IF(ISNUMBER(INDEX(Database!$H$6:$H$197, MATCH($B29&amp;"% GDP", Database!$AD$6:$AD$197, 0))), INDEX(Database!$H$6:$H$197, MATCH($B29&amp;"% GDP", Database!$AD$6:$AD$197, 0)), "")</f>
        <v>0.3843956526595334</v>
      </c>
      <c r="Q29" s="836">
        <f>IF(ISNUMBER(INDEX(Database!$J$6:$J$197, MATCH($B29&amp;"% GDP", Database!$AD$6:$AD$197, 0))), INDEX(Database!$J$6:$J$197, MATCH($B29&amp;"% GDP", Database!$AD$6:$AD$197, 0)), "")</f>
        <v>3.120737901746212</v>
      </c>
      <c r="R29" s="836">
        <f>IF(ISNUMBER(INDEX(Database!$L$6:$L$197, MATCH($B29&amp;"% GDP", Database!$AD$6:$AD$197, 0))), INDEX(Database!$L$6:$L$197, MATCH($B29&amp;"% GDP", Database!$AD$6:$AD$197, 0)), "")</f>
        <v>1.3909574647783118</v>
      </c>
      <c r="S29" s="836"/>
      <c r="T29" s="835">
        <f>IF(ISNUMBER(INDEX(Database!$P$6:$P$197, MATCH($B29&amp;"% GDP", Database!$AD$6:$AD$197, 0))), INDEX(Database!$P$6:$P$197, MATCH($B29&amp;"% GDP", Database!$AD$6:$AD$197, 0)), "")</f>
        <v>9.6336683671683065</v>
      </c>
      <c r="U29" s="836">
        <f>IF(ISNUMBER(INDEX(Database!$Q$6:$Q$197, MATCH($B29&amp;"% GDP", Database!$AD$6:$AD$197, 0))), INDEX(Database!$Q$6:$Q$197, MATCH($B29&amp;"% GDP", Database!$AD$6:$AD$197, 0)), "")</f>
        <v>0.41609838689949497</v>
      </c>
      <c r="V29" s="836"/>
      <c r="W29" s="836">
        <f>IF(ISNUMBER(INDEX(Database!$U$6:$U$197, MATCH($B29&amp;"% GDP", Database!$AD$6:$AD$197, 0))), INDEX(Database!$U$6:$U$197, MATCH($B29&amp;"% GDP", Database!$AD$6:$AD$197, 0)), "")</f>
        <v>6.3801752657922552</v>
      </c>
      <c r="X29" s="836">
        <f>IF(ISNUMBER(INDEX(Database!$W$6:$W$197, MATCH($B29&amp;"% GDP", Database!$AD$6:$AD$197, 0))), INDEX(Database!$W$6:$W$197, MATCH($B29&amp;"% GDP", Database!$AD$6:$AD$197, 0)), "")</f>
        <v>2.8373947144765559</v>
      </c>
      <c r="AB29" s="562"/>
    </row>
    <row r="30" spans="1:28">
      <c r="B30" s="838" t="s">
        <v>776</v>
      </c>
      <c r="C30" s="835"/>
      <c r="D30" s="836"/>
      <c r="E30" s="836"/>
      <c r="F30" s="836"/>
      <c r="G30" s="817"/>
      <c r="H30" s="835" t="str">
        <f>IF(ISNUMBER(INDEX(Database!$P$6:$P$197, MATCH($B30&amp;"USD bn", Database!$AD$6:$AD$197, 0))), INDEX(Database!$P$6:$P$197, MATCH($B30&amp;"USD bn", Database!$AD$6:$AD$197, 0)), "")</f>
        <v/>
      </c>
      <c r="I30" s="837" t="str">
        <f>IF(ISNUMBER(INDEX(Database!$Q$6:$Q$197, MATCH($B30&amp;"USD bn", Database!$AD$6:$AD$197, 0))), INDEX(Database!$Q$6:$Q$197, MATCH($B30&amp;"USD bn", Database!$AD$6:$AD$197, 0)), "")</f>
        <v/>
      </c>
      <c r="J30" s="837"/>
      <c r="K30" s="837" t="str">
        <f>IF(ISNUMBER(INDEX(Database!$U$6:$U$197, MATCH($B30&amp;"USD bn", Database!$AD$6:$AD$197, 0))), INDEX(Database!$U$6:$U$197, MATCH($B30&amp;"USD bn", Database!$AD$6:$AD$197, 0)), "")</f>
        <v/>
      </c>
      <c r="L30" s="837" t="str">
        <f>IF(ISNUMBER(INDEX(Database!$W$6:$W$197, MATCH($B30&amp;"USD bn", Database!$AD$6:$AD$197, 0))), INDEX(Database!$W$6:$W$197, MATCH($B30&amp;"USD bn", Database!$AD$6:$AD$197, 0)), "")</f>
        <v/>
      </c>
      <c r="M30" s="817"/>
      <c r="N30" s="817"/>
      <c r="O30" s="835" t="str">
        <f>IF(ISNUMBER(INDEX(Database!$G$6:$G$197, MATCH($B30&amp;"% GDP", Database!$AD$6:$AD$197, 0))), INDEX(Database!$G$6:$G$197, MATCH($B30&amp;"% GDP", Database!$AD$6:$AD$197, 0)), "")</f>
        <v/>
      </c>
      <c r="P30" s="836" t="str">
        <f>IF(ISNUMBER(INDEX(Database!$H$6:$H$197, MATCH($B30&amp;"% GDP", Database!$AD$6:$AD$197, 0))), INDEX(Database!$H$6:$H$197, MATCH($B30&amp;"% GDP", Database!$AD$6:$AD$197, 0)), "")</f>
        <v/>
      </c>
      <c r="Q30" s="836" t="str">
        <f>IF(ISNUMBER(INDEX(Database!$J$6:$J$197, MATCH($B30&amp;"% GDP", Database!$AD$6:$AD$197, 0))), INDEX(Database!$J$6:$J$197, MATCH($B30&amp;"% GDP", Database!$AD$6:$AD$197, 0)), "")</f>
        <v/>
      </c>
      <c r="R30" s="836" t="str">
        <f>IF(ISNUMBER(INDEX(Database!$L$6:$L$197, MATCH($B30&amp;"% GDP", Database!$AD$6:$AD$197, 0))), INDEX(Database!$L$6:$L$197, MATCH($B30&amp;"% GDP", Database!$AD$6:$AD$197, 0)), "")</f>
        <v/>
      </c>
      <c r="S30" s="836"/>
      <c r="T30" s="835" t="str">
        <f>IF(ISNUMBER(INDEX(Database!$P$6:$P$197, MATCH($B30&amp;"% GDP", Database!$AD$6:$AD$197, 0))), INDEX(Database!$P$6:$P$197, MATCH($B30&amp;"% GDP", Database!$AD$6:$AD$197, 0)), "")</f>
        <v/>
      </c>
      <c r="U30" s="836" t="str">
        <f>IF(ISNUMBER(INDEX(Database!$Q$6:$Q$197, MATCH($B30&amp;"% GDP", Database!$AD$6:$AD$197, 0))), INDEX(Database!$Q$6:$Q$197, MATCH($B30&amp;"% GDP", Database!$AD$6:$AD$197, 0)), "")</f>
        <v/>
      </c>
      <c r="V30" s="836"/>
      <c r="W30" s="836" t="str">
        <f>IF(ISNUMBER(INDEX(Database!$U$6:$U$197, MATCH($B30&amp;"% GDP", Database!$AD$6:$AD$197, 0))), INDEX(Database!$U$6:$U$197, MATCH($B30&amp;"% GDP", Database!$AD$6:$AD$197, 0)), "")</f>
        <v/>
      </c>
      <c r="X30" s="836" t="str">
        <f>IF(ISNUMBER(INDEX(Database!$W$6:$W$197, MATCH($B30&amp;"% GDP", Database!$AD$6:$AD$197, 0))), INDEX(Database!$W$6:$W$197, MATCH($B30&amp;"% GDP", Database!$AD$6:$AD$197, 0)), "")</f>
        <v/>
      </c>
      <c r="AB30" s="565"/>
    </row>
    <row r="31" spans="1:28">
      <c r="B31" s="7" t="s">
        <v>1011</v>
      </c>
      <c r="C31" s="839">
        <v>35.877305116828559</v>
      </c>
      <c r="D31" s="833">
        <v>2.0180984128216064</v>
      </c>
      <c r="E31" s="833">
        <v>33.859206704006951</v>
      </c>
      <c r="F31" s="833" t="s">
        <v>452</v>
      </c>
      <c r="G31" s="832"/>
      <c r="H31" s="839">
        <v>10.090492064108032</v>
      </c>
      <c r="I31" s="833" t="s">
        <v>452</v>
      </c>
      <c r="J31" s="837"/>
      <c r="K31" s="833">
        <v>10.090492064108032</v>
      </c>
      <c r="L31" s="833" t="s">
        <v>452</v>
      </c>
      <c r="M31" s="817"/>
      <c r="N31" s="817"/>
      <c r="O31" s="839">
        <v>8.6190786188140986</v>
      </c>
      <c r="P31" s="833">
        <v>0.48482317230829303</v>
      </c>
      <c r="Q31" s="833">
        <v>8.1342554465058043</v>
      </c>
      <c r="R31" s="833" t="s">
        <v>452</v>
      </c>
      <c r="S31" s="832"/>
      <c r="T31" s="839">
        <v>2.4241158615414649</v>
      </c>
      <c r="U31" s="833" t="s">
        <v>452</v>
      </c>
      <c r="V31" s="837"/>
      <c r="W31" s="833">
        <v>2.4241158615414649</v>
      </c>
      <c r="X31" s="833" t="s">
        <v>452</v>
      </c>
      <c r="AB31" s="718"/>
    </row>
    <row r="32" spans="1:28">
      <c r="B32" s="764" t="s">
        <v>547</v>
      </c>
      <c r="C32" s="831">
        <f>IF(ISNUMBER(INDEX(Database!$G$6:$G$197, MATCH($B32&amp;"USD bn", Database!$AD$6:$AD$197, 0))), INDEX(Database!$G$6:$G$197, MATCH($B32&amp;"USD bn", Database!$AD$6:$AD$197, 0)), "")</f>
        <v>42.45568516798415</v>
      </c>
      <c r="D32" s="832">
        <f>IF(ISNUMBER(INDEX(Database!$H$6:$H$197, MATCH($B32&amp;"USD bn", Database!$AD$6:$AD$197, 0))), INDEX(Database!$H$6:$H$197, MATCH($B32&amp;"USD bn", Database!$AD$6:$AD$197, 0)), "")</f>
        <v>10.95630584980236</v>
      </c>
      <c r="E32" s="832">
        <f>IF(ISNUMBER(INDEX(Database!$J$6:$J$197, MATCH($B32&amp;"USD bn", Database!$AD$6:$AD$197, 0))), INDEX(Database!$J$6:$J$197, MATCH($B32&amp;"USD bn", Database!$AD$6:$AD$197, 0)), "")</f>
        <v>31.499379318181788</v>
      </c>
      <c r="F32" s="833">
        <f>IF(ISNUMBER(INDEX(Database!$L$6:$L$197, MATCH($B32&amp;"USD bn", Database!$AD$6:$AD$197, 0))), INDEX(Database!$L$6:$L$197, MATCH($B32&amp;"USD bn", Database!$AD$6:$AD$197, 0)), "")</f>
        <v>14.722535985671922</v>
      </c>
      <c r="G32" s="832"/>
      <c r="H32" s="831">
        <f>IF(ISNUMBER(INDEX(Database!$P$6:$P$197, MATCH($B32&amp;"USD bn", Database!$AD$6:$AD$197, 0))), INDEX(Database!$P$6:$P$197, MATCH($B32&amp;"USD bn", Database!$AD$6:$AD$197, 0)), "")</f>
        <v>61.172707661396508</v>
      </c>
      <c r="I32" s="837">
        <f>IF(ISNUMBER(INDEX(Database!$Q$6:$Q$197, MATCH($B32&amp;"USD bn", Database!$AD$6:$AD$197, 0))), INDEX(Database!$Q$6:$Q$197, MATCH($B32&amp;"USD bn", Database!$AD$6:$AD$197, 0)), "")</f>
        <v>1.8260509749670601</v>
      </c>
      <c r="J32" s="837"/>
      <c r="K32" s="837">
        <f>IF(ISNUMBER(INDEX(Database!$U$6:$U$197, MATCH($B32&amp;"USD bn", Database!$AD$6:$AD$197, 0))), INDEX(Database!$U$6:$U$197, MATCH($B32&amp;"USD bn", Database!$AD$6:$AD$197, 0)), "")</f>
        <v>59.346656686429448</v>
      </c>
      <c r="L32" s="837" t="str">
        <f>IF(ISNUMBER(INDEX(Database!$W$6:$W$197, MATCH($B32&amp;"USD bn", Database!$AD$6:$AD$197, 0))), INDEX(Database!$W$6:$W$197, MATCH($B32&amp;"USD bn", Database!$AD$6:$AD$197, 0)), "")</f>
        <v/>
      </c>
      <c r="M32" s="817"/>
      <c r="N32" s="817"/>
      <c r="O32" s="835">
        <f>IF(ISNUMBER(INDEX(Database!$G$6:$G$197, MATCH($B32&amp;"% GDP", Database!$AD$6:$AD$197, 0))), INDEX(Database!$G$6:$G$197, MATCH($B32&amp;"% GDP", Database!$AD$6:$AD$197, 0)), "")</f>
        <v>8.2451011465566726</v>
      </c>
      <c r="P32" s="836">
        <f>IF(ISNUMBER(INDEX(Database!$H$6:$H$197, MATCH($B32&amp;"% GDP", Database!$AD$6:$AD$197, 0))), INDEX(Database!$H$6:$H$197, MATCH($B32&amp;"% GDP", Database!$AD$6:$AD$197, 0)), "")</f>
        <v>2.127768037821077</v>
      </c>
      <c r="Q32" s="836">
        <f>IF(ISNUMBER(INDEX(Database!$J$6:$J$197, MATCH($B32&amp;"% GDP", Database!$AD$6:$AD$197, 0))), INDEX(Database!$J$6:$J$197, MATCH($B32&amp;"% GDP", Database!$AD$6:$AD$197, 0)), "")</f>
        <v>6.117333108735596</v>
      </c>
      <c r="R32" s="836">
        <f>IF(ISNUMBER(INDEX(Database!$L$6:$L$197, MATCH($B32&amp;"% GDP", Database!$AD$6:$AD$197, 0))), INDEX(Database!$L$6:$L$197, MATCH($B32&amp;"% GDP", Database!$AD$6:$AD$197, 0)), "")</f>
        <v>2.8591883008220722</v>
      </c>
      <c r="S32" s="836"/>
      <c r="T32" s="835">
        <f>IF(ISNUMBER(INDEX(Database!$P$6:$P$197, MATCH($B32&amp;"% GDP", Database!$AD$6:$AD$197, 0))), INDEX(Database!$P$6:$P$197, MATCH($B32&amp;"% GDP", Database!$AD$6:$AD$197, 0)), "")</f>
        <v>11.880038211167678</v>
      </c>
      <c r="U32" s="836">
        <f>IF(ISNUMBER(INDEX(Database!$Q$6:$Q$197, MATCH($B32&amp;"% GDP", Database!$AD$6:$AD$197, 0))), INDEX(Database!$Q$6:$Q$197, MATCH($B32&amp;"% GDP", Database!$AD$6:$AD$197, 0)), "")</f>
        <v>0.35462800630351282</v>
      </c>
      <c r="V32" s="836"/>
      <c r="W32" s="836">
        <f>IF(ISNUMBER(INDEX(Database!$U$6:$U$197, MATCH($B32&amp;"% GDP", Database!$AD$6:$AD$197, 0))), INDEX(Database!$U$6:$U$197, MATCH($B32&amp;"% GDP", Database!$AD$6:$AD$197, 0)), "")</f>
        <v>11.525410204864166</v>
      </c>
      <c r="X32" s="836" t="str">
        <f>IF(ISNUMBER(INDEX(Database!$W$6:$W$197, MATCH($B32&amp;"% GDP", Database!$AD$6:$AD$197, 0))), INDEX(Database!$W$6:$W$197, MATCH($B32&amp;"% GDP", Database!$AD$6:$AD$197, 0)), "")</f>
        <v/>
      </c>
      <c r="AB32" s="562"/>
    </row>
    <row r="33" spans="2:28">
      <c r="B33" s="7" t="s">
        <v>1012</v>
      </c>
      <c r="C33" s="839">
        <v>1.0090492064108032</v>
      </c>
      <c r="D33" s="833">
        <v>0.11211657849008924</v>
      </c>
      <c r="E33" s="833">
        <v>0.89693262792071393</v>
      </c>
      <c r="F33" s="833">
        <v>0.3363497354702677</v>
      </c>
      <c r="G33" s="832"/>
      <c r="H33" s="839">
        <v>1.0426841799578299</v>
      </c>
      <c r="I33" s="833">
        <v>0.44846631396035697</v>
      </c>
      <c r="J33" s="837"/>
      <c r="K33" s="833">
        <v>0.59421786599747295</v>
      </c>
      <c r="L33" s="833" t="s">
        <v>452</v>
      </c>
      <c r="M33" s="817"/>
      <c r="N33" s="817"/>
      <c r="O33" s="839">
        <v>4.4912684696242557</v>
      </c>
      <c r="P33" s="833">
        <v>0.49902982995825063</v>
      </c>
      <c r="Q33" s="833">
        <v>3.992238639666005</v>
      </c>
      <c r="R33" s="833">
        <v>1.4970894898747518</v>
      </c>
      <c r="S33" s="832"/>
      <c r="T33" s="839">
        <v>4.6409774186117314</v>
      </c>
      <c r="U33" s="833">
        <v>1.9961193198330025</v>
      </c>
      <c r="V33" s="837"/>
      <c r="W33" s="833">
        <v>2.6448580987787285</v>
      </c>
      <c r="X33" s="833" t="s">
        <v>452</v>
      </c>
      <c r="AB33" s="718"/>
    </row>
    <row r="34" spans="2:28">
      <c r="B34" s="7" t="s">
        <v>541</v>
      </c>
      <c r="C34" s="831">
        <f>IF(ISNUMBER(INDEX(Database!$G$6:$G$197, MATCH($B34&amp;"USD bn", Database!$AD$6:$AD$197, 0))), INDEX(Database!$G$6:$G$197, MATCH($B34&amp;"USD bn", Database!$AD$6:$AD$197, 0)), "")</f>
        <v>22.550381835611422</v>
      </c>
      <c r="D34" s="832">
        <f>IF(ISNUMBER(INDEX(Database!$H$6:$H$197, MATCH($B34&amp;"USD bn", Database!$AD$6:$AD$197, 0))), INDEX(Database!$H$6:$H$197, MATCH($B34&amp;"USD bn", Database!$AD$6:$AD$197, 0)), "")</f>
        <v>6.3937269094473352</v>
      </c>
      <c r="E34" s="832">
        <f>IF(ISNUMBER(INDEX(Database!$J$6:$J$197, MATCH($B34&amp;"USD bn", Database!$AD$6:$AD$197, 0))), INDEX(Database!$J$6:$J$197, MATCH($B34&amp;"USD bn", Database!$AD$6:$AD$197, 0)), "")</f>
        <v>16.156654926164087</v>
      </c>
      <c r="F34" s="833">
        <f>IF(ISNUMBER(INDEX(Database!$L$6:$L$197, MATCH($B34&amp;"USD bn", Database!$AD$6:$AD$197, 0))), INDEX(Database!$L$6:$L$197, MATCH($B34&amp;"USD bn", Database!$AD$6:$AD$197, 0)), "")</f>
        <v>0.61610710785105727</v>
      </c>
      <c r="G34" s="832"/>
      <c r="H34" s="831">
        <f>IF(ISNUMBER(INDEX(Database!$P$6:$P$197, MATCH($B34&amp;"USD bn", Database!$AD$6:$AD$197, 0))), INDEX(Database!$P$6:$P$197, MATCH($B34&amp;"USD bn", Database!$AD$6:$AD$197, 0)), "")</f>
        <v>37.970293297142426</v>
      </c>
      <c r="I34" s="837">
        <f>IF(ISNUMBER(INDEX(Database!$Q$6:$Q$197, MATCH($B34&amp;"USD bn", Database!$AD$6:$AD$197, 0))), INDEX(Database!$Q$6:$Q$197, MATCH($B34&amp;"USD bn", Database!$AD$6:$AD$197, 0)), "")</f>
        <v>3.8775971822793812E-2</v>
      </c>
      <c r="J34" s="837"/>
      <c r="K34" s="837">
        <f>IF(ISNUMBER(INDEX(Database!$U$6:$U$197, MATCH($B34&amp;"USD bn", Database!$AD$6:$AD$197, 0))), INDEX(Database!$U$6:$U$197, MATCH($B34&amp;"USD bn", Database!$AD$6:$AD$197, 0)), "")</f>
        <v>37.931517325319632</v>
      </c>
      <c r="L34" s="837" t="str">
        <f>IF(ISNUMBER(INDEX(Database!$W$6:$W$197, MATCH($B34&amp;"USD bn", Database!$AD$6:$AD$197, 0))), INDEX(Database!$W$6:$W$197, MATCH($B34&amp;"USD bn", Database!$AD$6:$AD$197, 0)), "")</f>
        <v/>
      </c>
      <c r="M34" s="817"/>
      <c r="N34" s="817"/>
      <c r="O34" s="835">
        <f>IF(ISNUMBER(INDEX(Database!$G$6:$G$197, MATCH($B34&amp;"% GDP", Database!$AD$6:$AD$197, 0))), INDEX(Database!$G$6:$G$197, MATCH($B34&amp;"% GDP", Database!$AD$6:$AD$197, 0)), "")</f>
        <v>9.1911264362891103</v>
      </c>
      <c r="P34" s="836">
        <f>IF(ISNUMBER(INDEX(Database!$H$6:$H$197, MATCH($B34&amp;"% GDP", Database!$AD$6:$AD$197, 0))), INDEX(Database!$H$6:$H$197, MATCH($B34&amp;"% GDP", Database!$AD$6:$AD$197, 0)), "")</f>
        <v>2.6059670675301949</v>
      </c>
      <c r="Q34" s="836">
        <f>IF(ISNUMBER(INDEX(Database!$J$6:$J$197, MATCH($B34&amp;"% GDP", Database!$AD$6:$AD$197, 0))), INDEX(Database!$J$6:$J$197, MATCH($B34&amp;"% GDP", Database!$AD$6:$AD$197, 0)), "")</f>
        <v>6.5851593687589149</v>
      </c>
      <c r="R34" s="836">
        <f>IF(ISNUMBER(INDEX(Database!$L$6:$L$197, MATCH($B34&amp;"% GDP", Database!$AD$6:$AD$197, 0))), INDEX(Database!$L$6:$L$197, MATCH($B34&amp;"% GDP", Database!$AD$6:$AD$197, 0)), "")</f>
        <v>0.25111407726200669</v>
      </c>
      <c r="S34" s="836"/>
      <c r="T34" s="835">
        <f>IF(ISNUMBER(INDEX(Database!$P$6:$P$197, MATCH($B34&amp;"% GDP", Database!$AD$6:$AD$197, 0))), INDEX(Database!$P$6:$P$197, MATCH($B34&amp;"% GDP", Database!$AD$6:$AD$197, 0)), "")</f>
        <v>15.476002537832619</v>
      </c>
      <c r="U34" s="836">
        <f>IF(ISNUMBER(INDEX(Database!$Q$6:$Q$197, MATCH($B34&amp;"% GDP", Database!$AD$6:$AD$197, 0))), INDEX(Database!$Q$6:$Q$197, MATCH($B34&amp;"% GDP", Database!$AD$6:$AD$197, 0)), "")</f>
        <v>1.5804382485021397E-2</v>
      </c>
      <c r="V34" s="836"/>
      <c r="W34" s="836">
        <f>IF(ISNUMBER(INDEX(Database!$U$6:$U$197, MATCH($B34&amp;"% GDP", Database!$AD$6:$AD$197, 0))), INDEX(Database!$U$6:$U$197, MATCH($B34&amp;"% GDP", Database!$AD$6:$AD$197, 0)), "")</f>
        <v>15.460198155347598</v>
      </c>
      <c r="X34" s="836" t="str">
        <f>IF(ISNUMBER(INDEX(Database!$W$6:$W$197, MATCH($B34&amp;"% GDP", Database!$AD$6:$AD$197, 0))), INDEX(Database!$W$6:$W$197, MATCH($B34&amp;"% GDP", Database!$AD$6:$AD$197, 0)), "")</f>
        <v/>
      </c>
      <c r="AB34" s="563"/>
    </row>
    <row r="35" spans="2:28">
      <c r="B35" s="7" t="s">
        <v>19</v>
      </c>
      <c r="C35" s="831">
        <f>IF(ISNUMBER(INDEX(Database!$G$6:$G$197, MATCH($B35&amp;"USD bn", Database!$AD$6:$AD$197, 0))), INDEX(Database!$G$6:$G$197, MATCH($B35&amp;"USD bn", Database!$AD$6:$AD$197, 0)), "")</f>
        <v>12.151964295383831</v>
      </c>
      <c r="D35" s="832" t="str">
        <f>IF(ISNUMBER(INDEX(Database!$H$6:$H$197, MATCH($B35&amp;"USD bn", Database!$AD$6:$AD$197, 0))), INDEX(Database!$H$6:$H$197, MATCH($B35&amp;"USD bn", Database!$AD$6:$AD$197, 0)), "")</f>
        <v/>
      </c>
      <c r="E35" s="832">
        <f>IF(ISNUMBER(INDEX(Database!$J$6:$J$197, MATCH($B35&amp;"USD bn", Database!$AD$6:$AD$197, 0))), INDEX(Database!$J$6:$J$197, MATCH($B35&amp;"USD bn", Database!$AD$6:$AD$197, 0)), "")</f>
        <v>12.151964295383831</v>
      </c>
      <c r="F35" s="833">
        <f>IF(ISNUMBER(INDEX(Database!$L$6:$L$197, MATCH($B35&amp;"USD bn", Database!$AD$6:$AD$197, 0))), INDEX(Database!$L$6:$L$197, MATCH($B35&amp;"USD bn", Database!$AD$6:$AD$197, 0)), "")</f>
        <v>48.730141098973149</v>
      </c>
      <c r="G35" s="832"/>
      <c r="H35" s="831">
        <f>IF(ISNUMBER(INDEX(Database!$P$6:$P$197, MATCH($B35&amp;"USD bn", Database!$AD$6:$AD$197, 0))), INDEX(Database!$P$6:$P$197, MATCH($B35&amp;"USD bn", Database!$AD$6:$AD$197, 0)), "")</f>
        <v>55.669753413569694</v>
      </c>
      <c r="I35" s="837">
        <f>IF(ISNUMBER(INDEX(Database!$Q$6:$Q$197, MATCH($B35&amp;"USD bn", Database!$AD$6:$AD$197, 0))), INDEX(Database!$Q$6:$Q$197, MATCH($B35&amp;"USD bn", Database!$AD$6:$AD$197, 0)), "")</f>
        <v>43.105080896833208</v>
      </c>
      <c r="J35" s="837"/>
      <c r="K35" s="837">
        <f>IF(ISNUMBER(INDEX(Database!$U$6:$U$197, MATCH($B35&amp;"USD bn", Database!$AD$6:$AD$197, 0))), INDEX(Database!$U$6:$U$197, MATCH($B35&amp;"USD bn", Database!$AD$6:$AD$197, 0)), "")</f>
        <v>12.56467251673649</v>
      </c>
      <c r="L35" s="837" t="str">
        <f>IF(ISNUMBER(INDEX(Database!$W$6:$W$197, MATCH($B35&amp;"USD bn", Database!$AD$6:$AD$197, 0))), INDEX(Database!$W$6:$W$197, MATCH($B35&amp;"USD bn", Database!$AD$6:$AD$197, 0)), "")</f>
        <v/>
      </c>
      <c r="M35" s="817"/>
      <c r="N35" s="817"/>
      <c r="O35" s="835">
        <f>IF(ISNUMBER(INDEX(Database!$G$6:$G$197, MATCH($B35&amp;"% GDP", Database!$AD$6:$AD$197, 0))), INDEX(Database!$G$6:$G$197, MATCH($B35&amp;"% GDP", Database!$AD$6:$AD$197, 0)), "")</f>
        <v>3.412660153565414</v>
      </c>
      <c r="P35" s="836" t="str">
        <f>IF(ISNUMBER(INDEX(Database!$H$6:$H$197, MATCH($B35&amp;"% GDP", Database!$AD$6:$AD$197, 0))), INDEX(Database!$H$6:$H$197, MATCH($B35&amp;"% GDP", Database!$AD$6:$AD$197, 0)), "")</f>
        <v/>
      </c>
      <c r="Q35" s="836">
        <f>IF(ISNUMBER(INDEX(Database!$J$6:$J$197, MATCH($B35&amp;"% GDP", Database!$AD$6:$AD$197, 0))), INDEX(Database!$J$6:$J$197, MATCH($B35&amp;"% GDP", Database!$AD$6:$AD$197, 0)), "")</f>
        <v>3.412660153565414</v>
      </c>
      <c r="R35" s="836">
        <f>IF(ISNUMBER(INDEX(Database!$L$6:$L$197, MATCH($B35&amp;"% GDP", Database!$AD$6:$AD$197, 0))), INDEX(Database!$L$6:$L$197, MATCH($B35&amp;"% GDP", Database!$AD$6:$AD$197, 0)), "")</f>
        <v>13.684981848511372</v>
      </c>
      <c r="S35" s="836"/>
      <c r="T35" s="835">
        <f>IF(ISNUMBER(INDEX(Database!$P$6:$P$197, MATCH($B35&amp;"% GDP", Database!$AD$6:$AD$197, 0))), INDEX(Database!$P$6:$P$197, MATCH($B35&amp;"% GDP", Database!$AD$6:$AD$197, 0)), "")</f>
        <v>15.633846892182691</v>
      </c>
      <c r="U35" s="836">
        <f>IF(ISNUMBER(INDEX(Database!$Q$6:$Q$197, MATCH($B35&amp;"% GDP", Database!$AD$6:$AD$197, 0))), INDEX(Database!$Q$6:$Q$197, MATCH($B35&amp;"% GDP", Database!$AD$6:$AD$197, 0)), "")</f>
        <v>12.105285073024488</v>
      </c>
      <c r="V35" s="836"/>
      <c r="W35" s="836">
        <f>IF(ISNUMBER(INDEX(Database!$U$6:$U$197, MATCH($B35&amp;"% GDP", Database!$AD$6:$AD$197, 0))), INDEX(Database!$U$6:$U$197, MATCH($B35&amp;"% GDP", Database!$AD$6:$AD$197, 0)), "")</f>
        <v>3.528561819158202</v>
      </c>
      <c r="X35" s="836" t="str">
        <f>IF(ISNUMBER(INDEX(Database!$W$6:$W$197, MATCH($B35&amp;"% GDP", Database!$AD$6:$AD$197, 0))), INDEX(Database!$W$6:$W$197, MATCH($B35&amp;"% GDP", Database!$AD$6:$AD$197, 0)), "")</f>
        <v/>
      </c>
      <c r="AB35" s="563"/>
    </row>
    <row r="36" spans="2:28">
      <c r="B36" s="7" t="s">
        <v>1013</v>
      </c>
      <c r="C36" s="839">
        <v>1.0538958378068388</v>
      </c>
      <c r="D36" s="833">
        <v>0.25786813052720525</v>
      </c>
      <c r="E36" s="833">
        <v>0.79602770727963357</v>
      </c>
      <c r="F36" s="833" t="s">
        <v>452</v>
      </c>
      <c r="G36" s="832"/>
      <c r="H36" s="839">
        <v>1.3005523104850352</v>
      </c>
      <c r="I36" s="833">
        <v>0.96420257501476747</v>
      </c>
      <c r="J36" s="837"/>
      <c r="K36" s="833">
        <v>0.3363497354702677</v>
      </c>
      <c r="L36" s="833" t="s">
        <v>452</v>
      </c>
      <c r="M36" s="817"/>
      <c r="N36" s="817"/>
      <c r="O36" s="839">
        <v>3.5620118825577607</v>
      </c>
      <c r="P36" s="833">
        <v>0.87155609892370745</v>
      </c>
      <c r="Q36" s="833">
        <v>2.6904557836340532</v>
      </c>
      <c r="R36" s="833" t="s">
        <v>452</v>
      </c>
      <c r="S36" s="832"/>
      <c r="T36" s="839">
        <v>4.3956742380500025</v>
      </c>
      <c r="U36" s="833">
        <v>3.2588619351060366</v>
      </c>
      <c r="V36" s="837"/>
      <c r="W36" s="833">
        <v>1.1368123029439661</v>
      </c>
      <c r="X36" s="833" t="s">
        <v>452</v>
      </c>
      <c r="AB36" s="718"/>
    </row>
    <row r="37" spans="2:28">
      <c r="B37" s="7" t="s">
        <v>20</v>
      </c>
      <c r="C37" s="831">
        <f>IF(ISNUMBER(INDEX(Database!$G$6:$G$197, MATCH($B37&amp;"USD bn", Database!$AD$6:$AD$197, 0))), INDEX(Database!$G$6:$G$197, MATCH($B37&amp;"USD bn", Database!$AD$6:$AD$197, 0)), "")</f>
        <v>12.896485010704863</v>
      </c>
      <c r="D37" s="832">
        <f>IF(ISNUMBER(INDEX(Database!$H$6:$H$197, MATCH($B37&amp;"USD bn", Database!$AD$6:$AD$197, 0))), INDEX(Database!$H$6:$H$197, MATCH($B37&amp;"USD bn", Database!$AD$6:$AD$197, 0)), "")</f>
        <v>4.6792556233530913</v>
      </c>
      <c r="E37" s="832">
        <f>IF(ISNUMBER(INDEX(Database!$J$6:$J$197, MATCH($B37&amp;"USD bn", Database!$AD$6:$AD$197, 0))), INDEX(Database!$J$6:$J$197, MATCH($B37&amp;"USD bn", Database!$AD$6:$AD$197, 0)), "")</f>
        <v>8.2172293873517699</v>
      </c>
      <c r="F37" s="833">
        <f>IF(ISNUMBER(INDEX(Database!$L$6:$L$197, MATCH($B37&amp;"USD bn", Database!$AD$6:$AD$197, 0))), INDEX(Database!$L$6:$L$197, MATCH($B37&amp;"USD bn", Database!$AD$6:$AD$197, 0)), "")</f>
        <v>0.57064092967720625</v>
      </c>
      <c r="G37" s="832"/>
      <c r="H37" s="831">
        <f>IF(ISNUMBER(INDEX(Database!$P$6:$P$197, MATCH($B37&amp;"USD bn", Database!$AD$6:$AD$197, 0))), INDEX(Database!$P$6:$P$197, MATCH($B37&amp;"USD bn", Database!$AD$6:$AD$197, 0)), "")</f>
        <v>19.858304352766776</v>
      </c>
      <c r="I37" s="837">
        <f>IF(ISNUMBER(INDEX(Database!$Q$6:$Q$197, MATCH($B37&amp;"USD bn", Database!$AD$6:$AD$197, 0))), INDEX(Database!$Q$6:$Q$197, MATCH($B37&amp;"USD bn", Database!$AD$6:$AD$197, 0)), "")</f>
        <v>1.3695382312252951</v>
      </c>
      <c r="J37" s="837"/>
      <c r="K37" s="837">
        <f>IF(ISNUMBER(INDEX(Database!$U$6:$U$197, MATCH($B37&amp;"USD bn", Database!$AD$6:$AD$197, 0))), INDEX(Database!$U$6:$U$197, MATCH($B37&amp;"USD bn", Database!$AD$6:$AD$197, 0)), "")</f>
        <v>13.923638684123832</v>
      </c>
      <c r="L37" s="837">
        <f>IF(ISNUMBER(INDEX(Database!$W$6:$W$197, MATCH($B37&amp;"USD bn", Database!$AD$6:$AD$197, 0))), INDEX(Database!$W$6:$W$197, MATCH($B37&amp;"USD bn", Database!$AD$6:$AD$197, 0)), "")</f>
        <v>4.56512743741765</v>
      </c>
      <c r="M37" s="817"/>
      <c r="N37" s="817"/>
      <c r="O37" s="835">
        <f>IF(ISNUMBER(INDEX(Database!$G$6:$G$197, MATCH($B37&amp;"% GDP", Database!$AD$6:$AD$197, 0))), INDEX(Database!$G$6:$G$197, MATCH($B37&amp;"% GDP", Database!$AD$6:$AD$197, 0)), "")</f>
        <v>4.7843243517875598</v>
      </c>
      <c r="P37" s="836">
        <f>IF(ISNUMBER(INDEX(Database!$H$6:$H$197, MATCH($B37&amp;"% GDP", Database!$AD$6:$AD$197, 0))), INDEX(Database!$H$6:$H$197, MATCH($B37&amp;"% GDP", Database!$AD$6:$AD$197, 0)), "")</f>
        <v>1.7359052957813266</v>
      </c>
      <c r="Q37" s="836">
        <f>IF(ISNUMBER(INDEX(Database!$J$6:$J$197, MATCH($B37&amp;"% GDP", Database!$AD$6:$AD$197, 0))), INDEX(Database!$J$6:$J$197, MATCH($B37&amp;"% GDP", Database!$AD$6:$AD$197, 0)), "")</f>
        <v>3.0484190560062325</v>
      </c>
      <c r="R37" s="836">
        <f>IF(ISNUMBER(INDEX(Database!$L$6:$L$197, MATCH($B37&amp;"% GDP", Database!$AD$6:$AD$197, 0))), INDEX(Database!$L$6:$L$197, MATCH($B37&amp;"% GDP", Database!$AD$6:$AD$197, 0)), "")</f>
        <v>0.21169576777821061</v>
      </c>
      <c r="S37" s="836"/>
      <c r="T37" s="835">
        <f>IF(ISNUMBER(INDEX(Database!$P$6:$P$197, MATCH($B37&amp;"% GDP", Database!$AD$6:$AD$197, 0))), INDEX(Database!$P$6:$P$197, MATCH($B37&amp;"% GDP", Database!$AD$6:$AD$197, 0)), "")</f>
        <v>7.3670127186817282</v>
      </c>
      <c r="U37" s="836">
        <f>IF(ISNUMBER(INDEX(Database!$Q$6:$Q$197, MATCH($B37&amp;"% GDP", Database!$AD$6:$AD$197, 0))), INDEX(Database!$Q$6:$Q$197, MATCH($B37&amp;"% GDP", Database!$AD$6:$AD$197, 0)), "")</f>
        <v>0.50806984266770538</v>
      </c>
      <c r="V37" s="836"/>
      <c r="W37" s="836">
        <f>IF(ISNUMBER(INDEX(Database!$U$6:$U$197, MATCH($B37&amp;"% GDP", Database!$AD$6:$AD$197, 0))), INDEX(Database!$U$6:$U$197, MATCH($B37&amp;"% GDP", Database!$AD$6:$AD$197, 0)), "")</f>
        <v>5.1653767337883378</v>
      </c>
      <c r="X37" s="836">
        <f>IF(ISNUMBER(INDEX(Database!$W$6:$W$197, MATCH($B37&amp;"% GDP", Database!$AD$6:$AD$197, 0))), INDEX(Database!$W$6:$W$197, MATCH($B37&amp;"% GDP", Database!$AD$6:$AD$197, 0)), "")</f>
        <v>1.6935661422256849</v>
      </c>
      <c r="AB37" s="563"/>
    </row>
    <row r="38" spans="2:28">
      <c r="B38" s="7" t="s">
        <v>1014</v>
      </c>
      <c r="C38" s="839">
        <v>11.037603911309876</v>
      </c>
      <c r="D38" s="833">
        <v>0.32784962112801608</v>
      </c>
      <c r="E38" s="833">
        <v>10.709754290181859</v>
      </c>
      <c r="F38" s="833">
        <v>1.3113984845120643</v>
      </c>
      <c r="G38" s="832"/>
      <c r="H38" s="839">
        <v>2.5790836862070599</v>
      </c>
      <c r="I38" s="833" t="s">
        <v>452</v>
      </c>
      <c r="J38" s="837"/>
      <c r="K38" s="833">
        <v>2.5790836862070599</v>
      </c>
      <c r="L38" s="833" t="s">
        <v>452</v>
      </c>
      <c r="M38" s="817"/>
      <c r="N38" s="817"/>
      <c r="O38" s="839">
        <v>6.0865174507156548</v>
      </c>
      <c r="P38" s="833">
        <v>0.18078764705096004</v>
      </c>
      <c r="Q38" s="833">
        <v>5.9057298036646948</v>
      </c>
      <c r="R38" s="833">
        <v>0.72315058820384015</v>
      </c>
      <c r="S38" s="832"/>
      <c r="T38" s="839">
        <v>1.4221961568008856</v>
      </c>
      <c r="U38" s="833" t="s">
        <v>452</v>
      </c>
      <c r="V38" s="837"/>
      <c r="W38" s="833">
        <v>1.4221961568008856</v>
      </c>
      <c r="X38" s="833" t="s">
        <v>452</v>
      </c>
      <c r="AB38" s="718"/>
    </row>
    <row r="39" spans="2:28">
      <c r="B39" s="7" t="s">
        <v>39</v>
      </c>
      <c r="C39" s="839">
        <v>37.008431486129879</v>
      </c>
      <c r="D39" s="833">
        <v>1.2872497908219089</v>
      </c>
      <c r="E39" s="833">
        <v>35.721181695307976</v>
      </c>
      <c r="F39" s="833" t="s">
        <v>452</v>
      </c>
      <c r="G39" s="832"/>
      <c r="H39" s="839">
        <v>2.5744995816438179</v>
      </c>
      <c r="I39" s="833">
        <v>0</v>
      </c>
      <c r="J39" s="837"/>
      <c r="K39" s="833">
        <v>2.5744995816438179</v>
      </c>
      <c r="L39" s="833" t="s">
        <v>452</v>
      </c>
      <c r="M39" s="817"/>
      <c r="N39" s="817"/>
      <c r="O39" s="839">
        <v>10.65380819978763</v>
      </c>
      <c r="P39" s="833">
        <v>0.37056724173174366</v>
      </c>
      <c r="Q39" s="833">
        <v>10.283240958055886</v>
      </c>
      <c r="R39" s="833" t="s">
        <v>452</v>
      </c>
      <c r="S39" s="832"/>
      <c r="T39" s="839">
        <v>0.74113448346348731</v>
      </c>
      <c r="U39" s="833">
        <v>0</v>
      </c>
      <c r="V39" s="837"/>
      <c r="W39" s="833">
        <v>0.74113448346348731</v>
      </c>
      <c r="X39" s="833" t="s">
        <v>452</v>
      </c>
      <c r="AB39" s="718"/>
    </row>
    <row r="40" spans="2:28">
      <c r="B40" s="7" t="s">
        <v>1015</v>
      </c>
      <c r="C40" s="839">
        <v>0.87177135717816956</v>
      </c>
      <c r="D40" s="833">
        <v>2.1067807798472431E-2</v>
      </c>
      <c r="E40" s="833">
        <v>0.85070354937969705</v>
      </c>
      <c r="F40" s="833">
        <v>0</v>
      </c>
      <c r="G40" s="832"/>
      <c r="H40" s="839">
        <v>0.79912374407998876</v>
      </c>
      <c r="I40" s="833">
        <v>0</v>
      </c>
      <c r="J40" s="837"/>
      <c r="K40" s="833">
        <v>0.79912374407998876</v>
      </c>
      <c r="L40" s="833">
        <v>0</v>
      </c>
      <c r="M40" s="817"/>
      <c r="N40" s="817"/>
      <c r="O40" s="839">
        <v>4.2458232125593174</v>
      </c>
      <c r="P40" s="833">
        <v>0.10260739430351684</v>
      </c>
      <c r="Q40" s="833">
        <v>4.1432158182558005</v>
      </c>
      <c r="R40" s="833">
        <v>0</v>
      </c>
      <c r="S40" s="832"/>
      <c r="T40" s="839">
        <v>3.892004611512708</v>
      </c>
      <c r="U40" s="833">
        <v>0</v>
      </c>
      <c r="V40" s="837"/>
      <c r="W40" s="833">
        <v>3.892004611512708</v>
      </c>
      <c r="X40" s="833">
        <v>0</v>
      </c>
      <c r="AB40" s="718"/>
    </row>
    <row r="41" spans="2:28">
      <c r="B41" s="7" t="s">
        <v>1016</v>
      </c>
      <c r="C41" s="839">
        <v>22.983898590468293</v>
      </c>
      <c r="D41" s="833">
        <v>2.2423315698017849</v>
      </c>
      <c r="E41" s="833">
        <v>20.741567020666508</v>
      </c>
      <c r="F41" s="833">
        <v>2.8029144622522311</v>
      </c>
      <c r="G41" s="832"/>
      <c r="H41" s="839">
        <v>8.9693262792071398</v>
      </c>
      <c r="I41" s="833">
        <v>4.4846631396035699</v>
      </c>
      <c r="J41" s="837"/>
      <c r="K41" s="833">
        <v>4.4846631396035699</v>
      </c>
      <c r="L41" s="833" t="s">
        <v>452</v>
      </c>
      <c r="M41" s="817"/>
      <c r="N41" s="817"/>
      <c r="O41" s="839">
        <v>6.1192843906358192</v>
      </c>
      <c r="P41" s="833">
        <v>0.5970033551839824</v>
      </c>
      <c r="Q41" s="833">
        <v>5.5222810354518366</v>
      </c>
      <c r="R41" s="833">
        <v>0.74625419397997794</v>
      </c>
      <c r="S41" s="832"/>
      <c r="T41" s="839">
        <v>2.3880134207359296</v>
      </c>
      <c r="U41" s="833">
        <v>1.1940067103679648</v>
      </c>
      <c r="V41" s="837"/>
      <c r="W41" s="833">
        <v>1.1940067103679648</v>
      </c>
      <c r="X41" s="833" t="s">
        <v>452</v>
      </c>
      <c r="AB41" s="718"/>
    </row>
    <row r="42" spans="2:28">
      <c r="B42" s="7" t="s">
        <v>1017</v>
      </c>
      <c r="C42" s="839">
        <v>25.772200224823841</v>
      </c>
      <c r="D42" s="833">
        <v>3.99368543060258</v>
      </c>
      <c r="E42" s="833">
        <v>21.778514794221262</v>
      </c>
      <c r="F42" s="833">
        <v>2.0686715899524155</v>
      </c>
      <c r="G42" s="832"/>
      <c r="H42" s="839">
        <v>11.090378246133781</v>
      </c>
      <c r="I42" s="833">
        <v>0.94814114539485705</v>
      </c>
      <c r="J42" s="837"/>
      <c r="K42" s="833">
        <v>10.142237100738924</v>
      </c>
      <c r="L42" s="833" t="s">
        <v>452</v>
      </c>
      <c r="M42" s="817"/>
      <c r="N42" s="817"/>
      <c r="O42" s="839">
        <v>6.8226971940133092</v>
      </c>
      <c r="P42" s="833">
        <v>1.0572518505773132</v>
      </c>
      <c r="Q42" s="833">
        <v>5.7654453434359958</v>
      </c>
      <c r="R42" s="833">
        <v>0.54764124634220546</v>
      </c>
      <c r="S42" s="832"/>
      <c r="T42" s="839">
        <v>2.6849633327610904</v>
      </c>
      <c r="U42" s="833">
        <v>0</v>
      </c>
      <c r="V42" s="837"/>
      <c r="W42" s="833">
        <v>2.6849633327610904</v>
      </c>
      <c r="X42" s="833" t="s">
        <v>452</v>
      </c>
      <c r="AB42" s="718"/>
    </row>
    <row r="43" spans="2:28">
      <c r="B43" s="7" t="s">
        <v>1018</v>
      </c>
      <c r="C43" s="839">
        <v>2.513513761981462</v>
      </c>
      <c r="D43" s="833">
        <v>0.22949473478961177</v>
      </c>
      <c r="E43" s="833">
        <v>2.2840190271918503</v>
      </c>
      <c r="F43" s="833" t="s">
        <v>452</v>
      </c>
      <c r="G43" s="832"/>
      <c r="H43" s="839">
        <v>0.93983558056698158</v>
      </c>
      <c r="I43" s="833">
        <v>0.21856641408534455</v>
      </c>
      <c r="J43" s="837"/>
      <c r="K43" s="833">
        <v>0.72126916648163708</v>
      </c>
      <c r="L43" s="833">
        <v>0</v>
      </c>
      <c r="M43" s="817"/>
      <c r="N43" s="817"/>
      <c r="O43" s="839">
        <v>8.2182686338201005</v>
      </c>
      <c r="P43" s="833">
        <v>0.75036365787053105</v>
      </c>
      <c r="Q43" s="833">
        <v>7.467904975949569</v>
      </c>
      <c r="R43" s="833">
        <v>0</v>
      </c>
      <c r="S43" s="832"/>
      <c r="T43" s="839">
        <v>2.3582857818788119</v>
      </c>
      <c r="U43" s="833">
        <v>0</v>
      </c>
      <c r="V43" s="837"/>
      <c r="W43" s="833">
        <v>2.3582857818788119</v>
      </c>
      <c r="X43" s="833">
        <v>0</v>
      </c>
      <c r="AB43" s="718"/>
    </row>
    <row r="44" spans="2:28">
      <c r="B44" s="7" t="s">
        <v>1019</v>
      </c>
      <c r="C44" s="839">
        <v>2.5450463317250258</v>
      </c>
      <c r="D44" s="833">
        <v>0.56058289245044624</v>
      </c>
      <c r="E44" s="833">
        <v>1.9844634392745795</v>
      </c>
      <c r="F44" s="833">
        <v>2.4553530689329541</v>
      </c>
      <c r="G44" s="832"/>
      <c r="H44" s="839">
        <v>1.9284051500295349</v>
      </c>
      <c r="I44" s="833">
        <v>0.35877305116828556</v>
      </c>
      <c r="J44" s="837"/>
      <c r="K44" s="833">
        <v>1.5696320988612493</v>
      </c>
      <c r="L44" s="833" t="s">
        <v>452</v>
      </c>
      <c r="M44" s="817"/>
      <c r="N44" s="817"/>
      <c r="O44" s="839">
        <v>5.0073723247600821</v>
      </c>
      <c r="P44" s="833">
        <v>1.1029454459823971</v>
      </c>
      <c r="Q44" s="833">
        <v>3.9044268787776857</v>
      </c>
      <c r="R44" s="833">
        <v>4.8309010534028989</v>
      </c>
      <c r="S44" s="832"/>
      <c r="T44" s="839">
        <v>3.7941323341794457</v>
      </c>
      <c r="U44" s="833">
        <v>0.70588508542873418</v>
      </c>
      <c r="V44" s="837"/>
      <c r="W44" s="833">
        <v>3.0882472487507115</v>
      </c>
      <c r="X44" s="833" t="s">
        <v>452</v>
      </c>
      <c r="AB44" s="718"/>
    </row>
    <row r="45" spans="2:28">
      <c r="B45" s="7" t="s">
        <v>1020</v>
      </c>
      <c r="C45" s="839">
        <v>3.3877794183228405</v>
      </c>
      <c r="D45" s="833">
        <v>0.21856641408534455</v>
      </c>
      <c r="E45" s="833">
        <v>3.1692130042374957</v>
      </c>
      <c r="F45" s="833">
        <v>0</v>
      </c>
      <c r="G45" s="832"/>
      <c r="H45" s="839">
        <v>3.9341954535362018</v>
      </c>
      <c r="I45" s="833" t="s">
        <v>452</v>
      </c>
      <c r="J45" s="837"/>
      <c r="K45" s="833">
        <v>2.7320801760668068</v>
      </c>
      <c r="L45" s="833">
        <v>1.2021152774693951</v>
      </c>
      <c r="M45" s="817"/>
      <c r="N45" s="817"/>
      <c r="O45" s="839">
        <v>5.2753421898884847</v>
      </c>
      <c r="P45" s="833">
        <v>0.3403446574121603</v>
      </c>
      <c r="Q45" s="833">
        <v>4.9349975324763244</v>
      </c>
      <c r="R45" s="833">
        <v>0</v>
      </c>
      <c r="S45" s="832"/>
      <c r="T45" s="839">
        <v>6.1262038334188862</v>
      </c>
      <c r="U45" s="833" t="s">
        <v>452</v>
      </c>
      <c r="V45" s="837"/>
      <c r="W45" s="833">
        <v>4.254308217652004</v>
      </c>
      <c r="X45" s="833">
        <v>1.8718956157668818</v>
      </c>
      <c r="AB45" s="718"/>
    </row>
    <row r="46" spans="2:28">
      <c r="B46" s="7" t="s">
        <v>1021</v>
      </c>
      <c r="C46" s="839">
        <v>6.5902161892806923</v>
      </c>
      <c r="D46" s="833">
        <v>5.0115712466012867E-2</v>
      </c>
      <c r="E46" s="833">
        <v>6.5401004768146791</v>
      </c>
      <c r="F46" s="833" t="s">
        <v>452</v>
      </c>
      <c r="G46" s="832"/>
      <c r="H46" s="839" t="s">
        <v>452</v>
      </c>
      <c r="I46" s="833" t="s">
        <v>452</v>
      </c>
      <c r="J46" s="837"/>
      <c r="K46" s="833" t="s">
        <v>452</v>
      </c>
      <c r="L46" s="833" t="s">
        <v>452</v>
      </c>
      <c r="M46" s="817"/>
      <c r="N46" s="817"/>
      <c r="O46" s="839">
        <v>16.978252746637391</v>
      </c>
      <c r="P46" s="833">
        <v>0.12911218818735659</v>
      </c>
      <c r="Q46" s="833">
        <v>16.849140558450035</v>
      </c>
      <c r="R46" s="833" t="s">
        <v>452</v>
      </c>
      <c r="S46" s="832"/>
      <c r="T46" s="839" t="s">
        <v>452</v>
      </c>
      <c r="U46" s="833" t="s">
        <v>452</v>
      </c>
      <c r="V46" s="837"/>
      <c r="W46" s="833" t="s">
        <v>452</v>
      </c>
      <c r="X46" s="833" t="s">
        <v>452</v>
      </c>
      <c r="AB46" s="718"/>
    </row>
    <row r="47" spans="2:28">
      <c r="B47" s="7" t="s">
        <v>1022</v>
      </c>
      <c r="C47" s="839">
        <v>0.70633444448756222</v>
      </c>
      <c r="D47" s="833">
        <v>0.14575155203711601</v>
      </c>
      <c r="E47" s="833">
        <v>0.56058289245044624</v>
      </c>
      <c r="F47" s="833">
        <v>0.22423315698017848</v>
      </c>
      <c r="G47" s="832"/>
      <c r="H47" s="839">
        <v>0.87450931222269612</v>
      </c>
      <c r="I47" s="833">
        <v>0</v>
      </c>
      <c r="J47" s="837"/>
      <c r="K47" s="833">
        <v>0.87450931222269612</v>
      </c>
      <c r="L47" s="833" t="s">
        <v>452</v>
      </c>
      <c r="M47" s="817"/>
      <c r="N47" s="817"/>
      <c r="O47" s="839">
        <v>5.1116607835578804</v>
      </c>
      <c r="P47" s="833">
        <v>1.0547871458135309</v>
      </c>
      <c r="Q47" s="833">
        <v>4.0568736377443502</v>
      </c>
      <c r="R47" s="833">
        <v>1.6227494550977402</v>
      </c>
      <c r="S47" s="832"/>
      <c r="T47" s="839">
        <v>6.3287228748811861</v>
      </c>
      <c r="U47" s="833">
        <v>0</v>
      </c>
      <c r="V47" s="837"/>
      <c r="W47" s="833">
        <v>6.3287228748811861</v>
      </c>
      <c r="X47" s="833" t="s">
        <v>452</v>
      </c>
      <c r="AB47" s="718"/>
    </row>
    <row r="48" spans="2:28">
      <c r="B48" s="7" t="s">
        <v>553</v>
      </c>
      <c r="C48" s="831">
        <f>IF(ISNUMBER(INDEX(Database!$G$6:$G$197, MATCH($B48&amp;"USD bn", Database!$AD$6:$AD$197, 0))), INDEX(Database!$G$6:$G$197, MATCH($B48&amp;"USD bn", Database!$AD$6:$AD$197, 0)), "")</f>
        <v>40.366333649903929</v>
      </c>
      <c r="D48" s="832">
        <f>IF(ISNUMBER(INDEX(Database!$H$6:$H$197, MATCH($B48&amp;"USD bn", Database!$AD$6:$AD$197, 0))), INDEX(Database!$H$6:$H$197, MATCH($B48&amp;"USD bn", Database!$AD$6:$AD$197, 0)), "")</f>
        <v>3.3151095268037039</v>
      </c>
      <c r="E48" s="832">
        <f>IF(ISNUMBER(INDEX(Database!$J$6:$J$197, MATCH($B48&amp;"USD bn", Database!$AD$6:$AD$197, 0))), INDEX(Database!$J$6:$J$197, MATCH($B48&amp;"USD bn", Database!$AD$6:$AD$197, 0)), "")</f>
        <v>37.051224123100226</v>
      </c>
      <c r="F48" s="833" t="str">
        <f>IF(ISNUMBER(INDEX(Database!$L$6:$L$197, MATCH($B48&amp;"USD bn", Database!$AD$6:$AD$197, 0))), INDEX(Database!$L$6:$L$197, MATCH($B48&amp;"USD bn", Database!$AD$6:$AD$197, 0)), "")</f>
        <v/>
      </c>
      <c r="G48" s="832"/>
      <c r="H48" s="831">
        <f>IF(ISNUMBER(INDEX(Database!$P$6:$P$197, MATCH($B48&amp;"USD bn", Database!$AD$6:$AD$197, 0))), INDEX(Database!$P$6:$P$197, MATCH($B48&amp;"USD bn", Database!$AD$6:$AD$197, 0)), "")</f>
        <v>4.0951352978163404</v>
      </c>
      <c r="I48" s="837">
        <f>IF(ISNUMBER(INDEX(Database!$Q$6:$Q$197, MATCH($B48&amp;"USD bn", Database!$AD$6:$AD$197, 0))), INDEX(Database!$Q$6:$Q$197, MATCH($B48&amp;"USD bn", Database!$AD$6:$AD$197, 0)), "")</f>
        <v>2.2100730178691359</v>
      </c>
      <c r="J48" s="837"/>
      <c r="K48" s="837">
        <f>IF(ISNUMBER(INDEX(Database!$U$6:$U$197, MATCH($B48&amp;"USD bn", Database!$AD$6:$AD$197, 0))), INDEX(Database!$U$6:$U$197, MATCH($B48&amp;"USD bn", Database!$AD$6:$AD$197, 0)), "")</f>
        <v>1.8850622799472043</v>
      </c>
      <c r="L48" s="837" t="str">
        <f>IF(ISNUMBER(INDEX(Database!$W$6:$W$197, MATCH($B48&amp;"USD bn", Database!$AD$6:$AD$197, 0))), INDEX(Database!$W$6:$W$197, MATCH($B48&amp;"USD bn", Database!$AD$6:$AD$197, 0)), "")</f>
        <v/>
      </c>
      <c r="M48" s="817"/>
      <c r="N48" s="817"/>
      <c r="O48" s="835">
        <f>IF(ISNUMBER(INDEX(Database!$G$6:$G$197, MATCH($B48&amp;"% GDP", Database!$AD$6:$AD$197, 0))), INDEX(Database!$G$6:$G$197, MATCH($B48&amp;"% GDP", Database!$AD$6:$AD$197, 0)), "")</f>
        <v>19.27864943902545</v>
      </c>
      <c r="P48" s="836">
        <f>IF(ISNUMBER(INDEX(Database!$H$6:$H$197, MATCH($B48&amp;"% GDP", Database!$AD$6:$AD$197, 0))), INDEX(Database!$H$6:$H$197, MATCH($B48&amp;"% GDP", Database!$AD$6:$AD$197, 0)), "")</f>
        <v>1.5832707268764863</v>
      </c>
      <c r="Q48" s="836">
        <f>IF(ISNUMBER(INDEX(Database!$J$6:$J$197, MATCH($B48&amp;"% GDP", Database!$AD$6:$AD$197, 0))), INDEX(Database!$J$6:$J$197, MATCH($B48&amp;"% GDP", Database!$AD$6:$AD$197, 0)), "")</f>
        <v>17.695378712148965</v>
      </c>
      <c r="R48" s="836" t="str">
        <f>IF(ISNUMBER(INDEX(Database!$L$6:$L$197, MATCH($B48&amp;"% GDP", Database!$AD$6:$AD$197, 0))), INDEX(Database!$L$6:$L$197, MATCH($B48&amp;"% GDP", Database!$AD$6:$AD$197, 0)), "")</f>
        <v/>
      </c>
      <c r="S48" s="836"/>
      <c r="T48" s="835">
        <f>IF(ISNUMBER(INDEX(Database!$P$6:$P$197, MATCH($B48&amp;"% GDP", Database!$AD$6:$AD$197, 0))), INDEX(Database!$P$6:$P$197, MATCH($B48&amp;"% GDP", Database!$AD$6:$AD$197, 0)), "")</f>
        <v>1.9558050155533067</v>
      </c>
      <c r="U48" s="836">
        <f>IF(ISNUMBER(INDEX(Database!$Q$6:$Q$197, MATCH($B48&amp;"% GDP", Database!$AD$6:$AD$197, 0))), INDEX(Database!$Q$6:$Q$197, MATCH($B48&amp;"% GDP", Database!$AD$6:$AD$197, 0)), "")</f>
        <v>1.0555138179176575</v>
      </c>
      <c r="V48" s="836"/>
      <c r="W48" s="836">
        <f>IF(ISNUMBER(INDEX(Database!$U$6:$U$197, MATCH($B48&amp;"% GDP", Database!$AD$6:$AD$197, 0))), INDEX(Database!$U$6:$U$197, MATCH($B48&amp;"% GDP", Database!$AD$6:$AD$197, 0)), "")</f>
        <v>0.90029119763564913</v>
      </c>
      <c r="X48" s="836" t="str">
        <f>IF(ISNUMBER(INDEX(Database!$W$6:$W$197, MATCH($B48&amp;"% GDP", Database!$AD$6:$AD$197, 0))), INDEX(Database!$W$6:$W$197, MATCH($B48&amp;"% GDP", Database!$AD$6:$AD$197, 0)), "")</f>
        <v/>
      </c>
      <c r="AB48" s="563"/>
    </row>
    <row r="49" spans="2:28">
      <c r="B49" s="7" t="s">
        <v>36</v>
      </c>
      <c r="C49" s="831">
        <f>IF(ISNUMBER(INDEX(Database!$G$6:$G$197, MATCH($B49&amp;"USD bn", Database!$AD$6:$AD$197, 0))), INDEX(Database!$G$6:$G$197, MATCH($B49&amp;"USD bn", Database!$AD$6:$AD$197, 0)), "")</f>
        <v>23.917160810691193</v>
      </c>
      <c r="D49" s="832">
        <f>IF(ISNUMBER(INDEX(Database!$H$6:$H$197, MATCH($B49&amp;"USD bn", Database!$AD$6:$AD$197, 0))), INDEX(Database!$H$6:$H$197, MATCH($B49&amp;"USD bn", Database!$AD$6:$AD$197, 0)), "")</f>
        <v>2.6232409947782966</v>
      </c>
      <c r="E49" s="832">
        <f>IF(ISNUMBER(INDEX(Database!$J$6:$J$197, MATCH($B49&amp;"USD bn", Database!$AD$6:$AD$197, 0))), INDEX(Database!$J$6:$J$197, MATCH($B49&amp;"USD bn", Database!$AD$6:$AD$197, 0)), "")</f>
        <v>21.293919815912897</v>
      </c>
      <c r="F49" s="833" t="str">
        <f>IF(ISNUMBER(INDEX(Database!$L$6:$L$197, MATCH($B49&amp;"USD bn", Database!$AD$6:$AD$197, 0))), INDEX(Database!$L$6:$L$197, MATCH($B49&amp;"USD bn", Database!$AD$6:$AD$197, 0)), "")</f>
        <v/>
      </c>
      <c r="G49" s="832"/>
      <c r="H49" s="831">
        <f>IF(ISNUMBER(INDEX(Database!$P$6:$P$197, MATCH($B49&amp;"USD bn", Database!$AD$6:$AD$197, 0))), INDEX(Database!$P$6:$P$197, MATCH($B49&amp;"USD bn", Database!$AD$6:$AD$197, 0)), "")</f>
        <v>14.603062217895378</v>
      </c>
      <c r="I49" s="837">
        <f>IF(ISNUMBER(INDEX(Database!$Q$6:$Q$197, MATCH($B49&amp;"USD bn", Database!$AD$6:$AD$197, 0))), INDEX(Database!$Q$6:$Q$197, MATCH($B49&amp;"USD bn", Database!$AD$6:$AD$197, 0)), "")</f>
        <v>6.3191432870165452</v>
      </c>
      <c r="J49" s="837"/>
      <c r="K49" s="837">
        <f>IF(ISNUMBER(INDEX(Database!$U$6:$U$197, MATCH($B49&amp;"USD bn", Database!$AD$6:$AD$197, 0))), INDEX(Database!$U$6:$U$197, MATCH($B49&amp;"USD bn", Database!$AD$6:$AD$197, 0)), "")</f>
        <v>8.2839189308788317</v>
      </c>
      <c r="L49" s="837" t="str">
        <f>IF(ISNUMBER(INDEX(Database!$W$6:$W$197, MATCH($B49&amp;"USD bn", Database!$AD$6:$AD$197, 0))), INDEX(Database!$W$6:$W$197, MATCH($B49&amp;"USD bn", Database!$AD$6:$AD$197, 0)), "")</f>
        <v/>
      </c>
      <c r="M49" s="817"/>
      <c r="N49" s="817"/>
      <c r="O49" s="835">
        <f>IF(ISNUMBER(INDEX(Database!$G$6:$G$197, MATCH($B49&amp;"% GDP", Database!$AD$6:$AD$197, 0))), INDEX(Database!$G$6:$G$197, MATCH($B49&amp;"% GDP", Database!$AD$6:$AD$197, 0)), "")</f>
        <v>7.4022943167997886</v>
      </c>
      <c r="P49" s="836">
        <f>IF(ISNUMBER(INDEX(Database!$H$6:$H$197, MATCH($B49&amp;"% GDP", Database!$AD$6:$AD$197, 0))), INDEX(Database!$H$6:$H$197, MATCH($B49&amp;"% GDP", Database!$AD$6:$AD$197, 0)), "")</f>
        <v>0.81188574433816507</v>
      </c>
      <c r="Q49" s="836">
        <f>IF(ISNUMBER(INDEX(Database!$J$6:$J$197, MATCH($B49&amp;"% GDP", Database!$AD$6:$AD$197, 0))), INDEX(Database!$J$6:$J$197, MATCH($B49&amp;"% GDP", Database!$AD$6:$AD$197, 0)), "")</f>
        <v>6.5904085724616239</v>
      </c>
      <c r="R49" s="836" t="str">
        <f>IF(ISNUMBER(INDEX(Database!$L$6:$L$197, MATCH($B49&amp;"% GDP", Database!$AD$6:$AD$197, 0))), INDEX(Database!$L$6:$L$197, MATCH($B49&amp;"% GDP", Database!$AD$6:$AD$197, 0)), "")</f>
        <v/>
      </c>
      <c r="S49" s="836"/>
      <c r="T49" s="835">
        <f>IF(ISNUMBER(INDEX(Database!$P$6:$P$197, MATCH($B49&amp;"% GDP", Database!$AD$6:$AD$197, 0))), INDEX(Database!$P$6:$P$197, MATCH($B49&amp;"% GDP", Database!$AD$6:$AD$197, 0)), "")</f>
        <v>4.5196068763764252</v>
      </c>
      <c r="U49" s="836">
        <f>IF(ISNUMBER(INDEX(Database!$Q$6:$Q$197, MATCH($B49&amp;"% GDP", Database!$AD$6:$AD$197, 0))), INDEX(Database!$Q$6:$Q$197, MATCH($B49&amp;"% GDP", Database!$AD$6:$AD$197, 0)), "")</f>
        <v>1.9557571574137986</v>
      </c>
      <c r="V49" s="836"/>
      <c r="W49" s="836">
        <f>IF(ISNUMBER(INDEX(Database!$U$6:$U$197, MATCH($B49&amp;"% GDP", Database!$AD$6:$AD$197, 0))), INDEX(Database!$U$6:$U$197, MATCH($B49&amp;"% GDP", Database!$AD$6:$AD$197, 0)), "")</f>
        <v>2.563849718962627</v>
      </c>
      <c r="X49" s="836" t="str">
        <f>IF(ISNUMBER(INDEX(Database!$W$6:$W$197, MATCH($B49&amp;"% GDP", Database!$AD$6:$AD$197, 0))), INDEX(Database!$W$6:$W$197, MATCH($B49&amp;"% GDP", Database!$AD$6:$AD$197, 0)), "")</f>
        <v/>
      </c>
      <c r="AB49" s="563"/>
    </row>
    <row r="50" spans="2:28">
      <c r="B50" s="7" t="s">
        <v>1023</v>
      </c>
      <c r="C50" s="839">
        <v>7.0633444448756215</v>
      </c>
      <c r="D50" s="833">
        <v>1.7938652558414279</v>
      </c>
      <c r="E50" s="833">
        <v>5.2694791890341932</v>
      </c>
      <c r="F50" s="833">
        <v>8.8572097007170498</v>
      </c>
      <c r="G50" s="832"/>
      <c r="H50" s="839">
        <v>15.920554145592671</v>
      </c>
      <c r="I50" s="833">
        <v>1.3453989418810708</v>
      </c>
      <c r="J50" s="837"/>
      <c r="K50" s="833">
        <v>14.575155203711601</v>
      </c>
      <c r="L50" s="833" t="s">
        <v>452</v>
      </c>
      <c r="M50" s="817"/>
      <c r="N50" s="817"/>
      <c r="O50" s="839">
        <v>3.2740579303928747</v>
      </c>
      <c r="P50" s="833">
        <v>0.83150677597279377</v>
      </c>
      <c r="Q50" s="833">
        <v>2.4425511544200815</v>
      </c>
      <c r="R50" s="833">
        <v>4.1055647063656693</v>
      </c>
      <c r="S50" s="832"/>
      <c r="T50" s="839">
        <v>7.379622636758544</v>
      </c>
      <c r="U50" s="833">
        <v>0.62363008197959524</v>
      </c>
      <c r="V50" s="837"/>
      <c r="W50" s="833">
        <v>6.755992554778949</v>
      </c>
      <c r="X50" s="833" t="s">
        <v>452</v>
      </c>
      <c r="AB50" s="718"/>
    </row>
    <row r="51" spans="2:28">
      <c r="B51" s="7" t="s">
        <v>1024</v>
      </c>
      <c r="C51" s="839" t="s">
        <v>452</v>
      </c>
      <c r="D51" s="833" t="s">
        <v>452</v>
      </c>
      <c r="E51" s="833" t="s">
        <v>452</v>
      </c>
      <c r="F51" s="833" t="s">
        <v>452</v>
      </c>
      <c r="G51" s="832"/>
      <c r="H51" s="839" t="s">
        <v>452</v>
      </c>
      <c r="I51" s="833" t="s">
        <v>452</v>
      </c>
      <c r="J51" s="837"/>
      <c r="K51" s="833" t="s">
        <v>452</v>
      </c>
      <c r="L51" s="833" t="s">
        <v>452</v>
      </c>
      <c r="M51" s="817"/>
      <c r="N51" s="817"/>
      <c r="O51" s="839" t="s">
        <v>452</v>
      </c>
      <c r="P51" s="833" t="s">
        <v>452</v>
      </c>
      <c r="Q51" s="833" t="s">
        <v>452</v>
      </c>
      <c r="R51" s="833" t="s">
        <v>452</v>
      </c>
      <c r="S51" s="832"/>
      <c r="T51" s="839" t="s">
        <v>452</v>
      </c>
      <c r="U51" s="833" t="s">
        <v>452</v>
      </c>
      <c r="V51" s="837"/>
      <c r="W51" s="833" t="s">
        <v>452</v>
      </c>
      <c r="X51" s="833" t="s">
        <v>452</v>
      </c>
      <c r="AB51" s="718"/>
    </row>
    <row r="52" spans="2:28">
      <c r="B52" s="7" t="s">
        <v>31</v>
      </c>
      <c r="C52" s="831">
        <f>IF(ISNUMBER(INDEX(Database!$G$6:$G$197, MATCH($B52&amp;"USD bn", Database!$AD$6:$AD$197, 0))), INDEX(Database!$G$6:$G$197, MATCH($B52&amp;"USD bn", Database!$AD$6:$AD$197, 0)), "")</f>
        <v>62.546527888588585</v>
      </c>
      <c r="D52" s="832">
        <f>IF(ISNUMBER(INDEX(Database!$H$6:$H$197, MATCH($B52&amp;"USD bn", Database!$AD$6:$AD$197, 0))), INDEX(Database!$H$6:$H$197, MATCH($B52&amp;"USD bn", Database!$AD$6:$AD$197, 0)), "")</f>
        <v>13.480479938907852</v>
      </c>
      <c r="E52" s="832">
        <f>IF(ISNUMBER(INDEX(Database!$J$6:$J$197, MATCH($B52&amp;"USD bn", Database!$AD$6:$AD$197, 0))), INDEX(Database!$J$6:$J$197, MATCH($B52&amp;"USD bn", Database!$AD$6:$AD$197, 0)), "")</f>
        <v>49.06604794968073</v>
      </c>
      <c r="F52" s="833" t="str">
        <f>IF(ISNUMBER(INDEX(Database!$L$6:$L$197, MATCH($B52&amp;"USD bn", Database!$AD$6:$AD$197, 0))), INDEX(Database!$L$6:$L$197, MATCH($B52&amp;"USD bn", Database!$AD$6:$AD$197, 0)), "")</f>
        <v/>
      </c>
      <c r="G52" s="832"/>
      <c r="H52" s="831">
        <f>IF(ISNUMBER(INDEX(Database!$P$6:$P$197, MATCH($B52&amp;"USD bn", Database!$AD$6:$AD$197, 0))), INDEX(Database!$P$6:$P$197, MATCH($B52&amp;"USD bn", Database!$AD$6:$AD$197, 0)), "")</f>
        <v>15.94465369118133</v>
      </c>
      <c r="I52" s="837">
        <f>IF(ISNUMBER(INDEX(Database!$Q$6:$Q$197, MATCH($B52&amp;"USD bn", Database!$AD$6:$AD$197, 0))), INDEX(Database!$Q$6:$Q$197, MATCH($B52&amp;"USD bn", Database!$AD$6:$AD$197, 0)), "")</f>
        <v>15.94465369118133</v>
      </c>
      <c r="J52" s="837"/>
      <c r="K52" s="837" t="str">
        <f>IF(ISNUMBER(INDEX(Database!$U$6:$U$197, MATCH($B52&amp;"USD bn", Database!$AD$6:$AD$197, 0))), INDEX(Database!$U$6:$U$197, MATCH($B52&amp;"USD bn", Database!$AD$6:$AD$197, 0)), "")</f>
        <v/>
      </c>
      <c r="L52" s="837" t="str">
        <f>IF(ISNUMBER(INDEX(Database!$W$6:$W$197, MATCH($B52&amp;"USD bn", Database!$AD$6:$AD$197, 0))), INDEX(Database!$W$6:$W$197, MATCH($B52&amp;"USD bn", Database!$AD$6:$AD$197, 0)), "")</f>
        <v/>
      </c>
      <c r="M52" s="817"/>
      <c r="N52" s="817"/>
      <c r="O52" s="835">
        <f>IF(ISNUMBER(INDEX(Database!$G$6:$G$197, MATCH($B52&amp;"% GDP", Database!$AD$6:$AD$197, 0))), INDEX(Database!$G$6:$G$197, MATCH($B52&amp;"% GDP", Database!$AD$6:$AD$197, 0)), "")</f>
        <v>18.39709108521307</v>
      </c>
      <c r="P52" s="836">
        <f>IF(ISNUMBER(INDEX(Database!$H$6:$H$197, MATCH($B52&amp;"% GDP", Database!$AD$6:$AD$197, 0))), INDEX(Database!$H$6:$H$197, MATCH($B52&amp;"% GDP", Database!$AD$6:$AD$197, 0)), "")</f>
        <v>3.9650740925256436</v>
      </c>
      <c r="Q52" s="836">
        <f>IF(ISNUMBER(INDEX(Database!$J$6:$J$197, MATCH($B52&amp;"% GDP", Database!$AD$6:$AD$197, 0))), INDEX(Database!$J$6:$J$197, MATCH($B52&amp;"% GDP", Database!$AD$6:$AD$197, 0)), "")</f>
        <v>14.432016992687425</v>
      </c>
      <c r="R52" s="836" t="str">
        <f>IF(ISNUMBER(INDEX(Database!$L$6:$L$197, MATCH($B52&amp;"% GDP", Database!$AD$6:$AD$197, 0))), INDEX(Database!$L$6:$L$197, MATCH($B52&amp;"% GDP", Database!$AD$6:$AD$197, 0)), "")</f>
        <v/>
      </c>
      <c r="S52" s="836"/>
      <c r="T52" s="835">
        <f>IF(ISNUMBER(INDEX(Database!$P$6:$P$197, MATCH($B52&amp;"% GDP", Database!$AD$6:$AD$197, 0))), INDEX(Database!$P$6:$P$197, MATCH($B52&amp;"% GDP", Database!$AD$6:$AD$197, 0)), "")</f>
        <v>4.6898725825572125</v>
      </c>
      <c r="U52" s="836">
        <f>IF(ISNUMBER(INDEX(Database!$Q$6:$Q$197, MATCH($B52&amp;"% GDP", Database!$AD$6:$AD$197, 0))), INDEX(Database!$Q$6:$Q$197, MATCH($B52&amp;"% GDP", Database!$AD$6:$AD$197, 0)), "")</f>
        <v>4.6898725825572125</v>
      </c>
      <c r="V52" s="836"/>
      <c r="W52" s="836" t="str">
        <f>IF(ISNUMBER(INDEX(Database!$U$6:$U$197, MATCH($B52&amp;"% GDP", Database!$AD$6:$AD$197, 0))), INDEX(Database!$U$6:$U$197, MATCH($B52&amp;"% GDP", Database!$AD$6:$AD$197, 0)), "")</f>
        <v/>
      </c>
      <c r="X52" s="836" t="str">
        <f>IF(ISNUMBER(INDEX(Database!$W$6:$W$197, MATCH($B52&amp;"% GDP", Database!$AD$6:$AD$197, 0))), INDEX(Database!$W$6:$W$197, MATCH($B52&amp;"% GDP", Database!$AD$6:$AD$197, 0)), "")</f>
        <v/>
      </c>
      <c r="AB52" s="563"/>
    </row>
    <row r="53" spans="2:28">
      <c r="B53" s="7" t="s">
        <v>1025</v>
      </c>
      <c r="C53" s="839">
        <v>2.4042305549387901</v>
      </c>
      <c r="D53" s="833">
        <v>0.17485313126827565</v>
      </c>
      <c r="E53" s="833">
        <v>2.2293774236705146</v>
      </c>
      <c r="F53" s="833">
        <v>1.344183446624869</v>
      </c>
      <c r="G53" s="832"/>
      <c r="H53" s="839">
        <v>4.3822566024111582</v>
      </c>
      <c r="I53" s="833">
        <v>0</v>
      </c>
      <c r="J53" s="837"/>
      <c r="K53" s="833">
        <v>4.3822566024111582</v>
      </c>
      <c r="L53" s="833" t="s">
        <v>452</v>
      </c>
      <c r="M53" s="817"/>
      <c r="N53" s="817"/>
      <c r="O53" s="839">
        <v>2.5202589739197503</v>
      </c>
      <c r="P53" s="833">
        <v>0.18329156173961816</v>
      </c>
      <c r="Q53" s="833">
        <v>2.3369674121801323</v>
      </c>
      <c r="R53" s="833">
        <v>1.4090538808733148</v>
      </c>
      <c r="S53" s="832"/>
      <c r="T53" s="839">
        <v>4.5937447660991806</v>
      </c>
      <c r="U53" s="833">
        <v>0</v>
      </c>
      <c r="V53" s="837"/>
      <c r="W53" s="833">
        <v>4.5937447660991806</v>
      </c>
      <c r="X53" s="833" t="s">
        <v>452</v>
      </c>
      <c r="AB53" s="718"/>
    </row>
    <row r="54" spans="2:28">
      <c r="B54" s="7" t="s">
        <v>1026</v>
      </c>
      <c r="C54" s="839">
        <v>4.0361968256432039</v>
      </c>
      <c r="D54" s="833">
        <v>0.11211657849008899</v>
      </c>
      <c r="E54" s="833">
        <v>3.9240802471531144</v>
      </c>
      <c r="F54" s="833" t="s">
        <v>452</v>
      </c>
      <c r="G54" s="832"/>
      <c r="H54" s="839">
        <v>3.3634973547026692</v>
      </c>
      <c r="I54" s="833">
        <v>0.67269947094053384</v>
      </c>
      <c r="J54" s="837"/>
      <c r="K54" s="833">
        <v>2.5786813052720463</v>
      </c>
      <c r="L54" s="833">
        <v>0.11211657849008899</v>
      </c>
      <c r="M54" s="817"/>
      <c r="N54" s="817"/>
      <c r="O54" s="839">
        <v>8.0226062805152409</v>
      </c>
      <c r="P54" s="833">
        <v>0.22285017445875668</v>
      </c>
      <c r="Q54" s="833">
        <v>7.799756106056484</v>
      </c>
      <c r="R54" s="833" t="s">
        <v>452</v>
      </c>
      <c r="S54" s="832"/>
      <c r="T54" s="839">
        <v>6.6855052337626999</v>
      </c>
      <c r="U54" s="833">
        <v>1.3371010467525402</v>
      </c>
      <c r="V54" s="837"/>
      <c r="W54" s="833">
        <v>5.1255540125514027</v>
      </c>
      <c r="X54" s="833">
        <v>0.22285017445875668</v>
      </c>
      <c r="AB54" s="718"/>
    </row>
    <row r="55" spans="2:28">
      <c r="B55" s="7" t="s">
        <v>21</v>
      </c>
      <c r="C55" s="831">
        <f>IF(ISNUMBER(INDEX(Database!$G$6:$G$197, MATCH($B55&amp;"USD bn", Database!$AD$6:$AD$197, 0))), INDEX(Database!$G$6:$G$197, MATCH($B55&amp;"USD bn", Database!$AD$6:$AD$197, 0)), "")</f>
        <v>22.474815922163589</v>
      </c>
      <c r="D55" s="832">
        <f>IF(ISNUMBER(INDEX(Database!$H$6:$H$197, MATCH($B55&amp;"USD bn", Database!$AD$6:$AD$197, 0))), INDEX(Database!$H$6:$H$197, MATCH($B55&amp;"USD bn", Database!$AD$6:$AD$197, 0)), "")</f>
        <v>4.125811618561432</v>
      </c>
      <c r="E55" s="832">
        <f>IF(ISNUMBER(INDEX(Database!$J$6:$J$197, MATCH($B55&amp;"USD bn", Database!$AD$6:$AD$197, 0))), INDEX(Database!$J$6:$J$197, MATCH($B55&amp;"USD bn", Database!$AD$6:$AD$197, 0)), "")</f>
        <v>18.349004303602158</v>
      </c>
      <c r="F55" s="833">
        <f>IF(ISNUMBER(INDEX(Database!$L$6:$L$197, MATCH($B55&amp;"USD bn", Database!$AD$6:$AD$197, 0))), INDEX(Database!$L$6:$L$197, MATCH($B55&amp;"USD bn", Database!$AD$6:$AD$197, 0)), "")</f>
        <v>36.372286637317892</v>
      </c>
      <c r="G55" s="832"/>
      <c r="H55" s="831">
        <f>IF(ISNUMBER(INDEX(Database!$P$6:$P$197, MATCH($B55&amp;"USD bn", Database!$AD$6:$AD$197, 0))), INDEX(Database!$P$6:$P$197, MATCH($B55&amp;"USD bn", Database!$AD$6:$AD$197, 0)), "")</f>
        <v>28.413813173092809</v>
      </c>
      <c r="I55" s="837">
        <f>IF(ISNUMBER(INDEX(Database!$Q$6:$Q$197, MATCH($B55&amp;"USD bn", Database!$AD$6:$AD$197, 0))), INDEX(Database!$Q$6:$Q$197, MATCH($B55&amp;"USD bn", Database!$AD$6:$AD$197, 0)), "")</f>
        <v>1.2703156825570725</v>
      </c>
      <c r="J55" s="837"/>
      <c r="K55" s="837">
        <f>IF(ISNUMBER(INDEX(Database!$U$6:$U$197, MATCH($B55&amp;"USD bn", Database!$AD$6:$AD$197, 0))), INDEX(Database!$U$6:$U$197, MATCH($B55&amp;"USD bn", Database!$AD$6:$AD$197, 0)), "")</f>
        <v>27.143497490535736</v>
      </c>
      <c r="L55" s="837" t="str">
        <f>IF(ISNUMBER(INDEX(Database!$W$6:$W$197, MATCH($B55&amp;"USD bn", Database!$AD$6:$AD$197, 0))), INDEX(Database!$W$6:$W$197, MATCH($B55&amp;"USD bn", Database!$AD$6:$AD$197, 0)), "")</f>
        <v/>
      </c>
      <c r="M55" s="817"/>
      <c r="N55" s="817"/>
      <c r="O55" s="835">
        <f>IF(ISNUMBER(INDEX(Database!$G$6:$G$197, MATCH($B55&amp;"% GDP", Database!$AD$6:$AD$197, 0))), INDEX(Database!$G$6:$G$197, MATCH($B55&amp;"% GDP", Database!$AD$6:$AD$197, 0)), "")</f>
        <v>4.1538214254109116</v>
      </c>
      <c r="P55" s="836">
        <f>IF(ISNUMBER(INDEX(Database!$H$6:$H$197, MATCH($B55&amp;"% GDP", Database!$AD$6:$AD$197, 0))), INDEX(Database!$H$6:$H$197, MATCH($B55&amp;"% GDP", Database!$AD$6:$AD$197, 0)), "")</f>
        <v>0.76253726650055398</v>
      </c>
      <c r="Q55" s="836">
        <f>IF(ISNUMBER(INDEX(Database!$J$6:$J$197, MATCH($B55&amp;"% GDP", Database!$AD$6:$AD$197, 0))), INDEX(Database!$J$6:$J$197, MATCH($B55&amp;"% GDP", Database!$AD$6:$AD$197, 0)), "")</f>
        <v>3.3912841589103584</v>
      </c>
      <c r="R55" s="836">
        <f>IF(ISNUMBER(INDEX(Database!$L$6:$L$197, MATCH($B55&amp;"% GDP", Database!$AD$6:$AD$197, 0))), INDEX(Database!$L$6:$L$197, MATCH($B55&amp;"% GDP", Database!$AD$6:$AD$197, 0)), "")</f>
        <v>6.7223680073075149</v>
      </c>
      <c r="S55" s="836"/>
      <c r="T55" s="835">
        <f>IF(ISNUMBER(INDEX(Database!$P$6:$P$197, MATCH($B55&amp;"% GDP", Database!$AD$6:$AD$197, 0))), INDEX(Database!$P$6:$P$197, MATCH($B55&amp;"% GDP", Database!$AD$6:$AD$197, 0)), "")</f>
        <v>5.2514737537682885</v>
      </c>
      <c r="U55" s="836">
        <f>IF(ISNUMBER(INDEX(Database!$Q$6:$Q$197, MATCH($B55&amp;"% GDP", Database!$AD$6:$AD$197, 0))), INDEX(Database!$Q$6:$Q$197, MATCH($B55&amp;"% GDP", Database!$AD$6:$AD$197, 0)), "")</f>
        <v>0.2347812110014863</v>
      </c>
      <c r="V55" s="836"/>
      <c r="W55" s="836">
        <f>IF(ISNUMBER(INDEX(Database!$U$6:$U$197, MATCH($B55&amp;"% GDP", Database!$AD$6:$AD$197, 0))), INDEX(Database!$U$6:$U$197, MATCH($B55&amp;"% GDP", Database!$AD$6:$AD$197, 0)), "")</f>
        <v>5.0166925427668021</v>
      </c>
      <c r="X55" s="836" t="str">
        <f>IF(ISNUMBER(INDEX(Database!$W$6:$W$197, MATCH($B55&amp;"% GDP", Database!$AD$6:$AD$197, 0))), INDEX(Database!$W$6:$W$197, MATCH($B55&amp;"% GDP", Database!$AD$6:$AD$197, 0)), "")</f>
        <v/>
      </c>
      <c r="AB55" s="563"/>
    </row>
    <row r="56" spans="2:28">
      <c r="B56" s="7" t="s">
        <v>558</v>
      </c>
      <c r="C56" s="831">
        <f>IF(ISNUMBER(INDEX(Database!$G$6:$G$197, MATCH($B56&amp;"USD bn", Database!$AD$6:$AD$197, 0))), INDEX(Database!$G$6:$G$197, MATCH($B56&amp;"USD bn", Database!$AD$6:$AD$197, 0)), "")</f>
        <v>59.481808256628398</v>
      </c>
      <c r="D56" s="832">
        <f>IF(ISNUMBER(INDEX(Database!$H$6:$H$197, MATCH($B56&amp;"USD bn", Database!$AD$6:$AD$197, 0))), INDEX(Database!$H$6:$H$197, MATCH($B56&amp;"USD bn", Database!$AD$6:$AD$197, 0)), "")</f>
        <v>7.6892624776985965</v>
      </c>
      <c r="E56" s="832">
        <f>IF(ISNUMBER(INDEX(Database!$J$6:$J$197, MATCH($B56&amp;"USD bn", Database!$AD$6:$AD$197, 0))), INDEX(Database!$J$6:$J$197, MATCH($B56&amp;"USD bn", Database!$AD$6:$AD$197, 0)), "")</f>
        <v>51.792545778929799</v>
      </c>
      <c r="F56" s="833" t="str">
        <f>IF(ISNUMBER(INDEX(Database!$L$6:$L$197, MATCH($B56&amp;"USD bn", Database!$AD$6:$AD$197, 0))), INDEX(Database!$L$6:$L$197, MATCH($B56&amp;"USD bn", Database!$AD$6:$AD$197, 0)), "")</f>
        <v/>
      </c>
      <c r="G56" s="832"/>
      <c r="H56" s="831">
        <f>IF(ISNUMBER(INDEX(Database!$P$6:$P$197, MATCH($B56&amp;"USD bn", Database!$AD$6:$AD$197, 0))), INDEX(Database!$P$6:$P$197, MATCH($B56&amp;"USD bn", Database!$AD$6:$AD$197, 0)), "")</f>
        <v>46.733119713121745</v>
      </c>
      <c r="I56" s="837">
        <f>IF(ISNUMBER(INDEX(Database!$Q$6:$Q$197, MATCH($B56&amp;"USD bn", Database!$AD$6:$AD$197, 0))), INDEX(Database!$Q$6:$Q$197, MATCH($B56&amp;"USD bn", Database!$AD$6:$AD$197, 0)), "")</f>
        <v>1.1716565626081807</v>
      </c>
      <c r="J56" s="837"/>
      <c r="K56" s="837">
        <f>IF(ISNUMBER(INDEX(Database!$U$6:$U$197, MATCH($B56&amp;"USD bn", Database!$AD$6:$AD$197, 0))), INDEX(Database!$U$6:$U$197, MATCH($B56&amp;"USD bn", Database!$AD$6:$AD$197, 0)), "")</f>
        <v>45.561463150513568</v>
      </c>
      <c r="L56" s="837" t="str">
        <f>IF(ISNUMBER(INDEX(Database!$W$6:$W$197, MATCH($B56&amp;"USD bn", Database!$AD$6:$AD$197, 0))), INDEX(Database!$W$6:$W$197, MATCH($B56&amp;"USD bn", Database!$AD$6:$AD$197, 0)), "")</f>
        <v/>
      </c>
      <c r="M56" s="817"/>
      <c r="N56" s="817"/>
      <c r="O56" s="835">
        <f>IF(ISNUMBER(INDEX(Database!$G$6:$G$197, MATCH($B56&amp;"% GDP", Database!$AD$6:$AD$197, 0))), INDEX(Database!$G$6:$G$197, MATCH($B56&amp;"% GDP", Database!$AD$6:$AD$197, 0)), "")</f>
        <v>7.9111095244692748</v>
      </c>
      <c r="P56" s="836">
        <f>IF(ISNUMBER(INDEX(Database!$H$6:$H$197, MATCH($B56&amp;"% GDP", Database!$AD$6:$AD$197, 0))), INDEX(Database!$H$6:$H$197, MATCH($B56&amp;"% GDP", Database!$AD$6:$AD$197, 0)), "")</f>
        <v>1.0226756617925596</v>
      </c>
      <c r="Q56" s="836">
        <f>IF(ISNUMBER(INDEX(Database!$J$6:$J$197, MATCH($B56&amp;"% GDP", Database!$AD$6:$AD$197, 0))), INDEX(Database!$J$6:$J$197, MATCH($B56&amp;"% GDP", Database!$AD$6:$AD$197, 0)), "")</f>
        <v>6.8884338626767159</v>
      </c>
      <c r="R56" s="836" t="str">
        <f>IF(ISNUMBER(INDEX(Database!$L$6:$L$197, MATCH($B56&amp;"% GDP", Database!$AD$6:$AD$197, 0))), INDEX(Database!$L$6:$L$197, MATCH($B56&amp;"% GDP", Database!$AD$6:$AD$197, 0)), "")</f>
        <v/>
      </c>
      <c r="S56" s="836"/>
      <c r="T56" s="835">
        <f>IF(ISNUMBER(INDEX(Database!$P$6:$P$197, MATCH($B56&amp;"% GDP", Database!$AD$6:$AD$197, 0))), INDEX(Database!$P$6:$P$197, MATCH($B56&amp;"% GDP", Database!$AD$6:$AD$197, 0)), "")</f>
        <v>6.2155277269910725</v>
      </c>
      <c r="U56" s="836">
        <f>IF(ISNUMBER(INDEX(Database!$Q$6:$Q$197, MATCH($B56&amp;"% GDP", Database!$AD$6:$AD$197, 0))), INDEX(Database!$Q$6:$Q$197, MATCH($B56&amp;"% GDP", Database!$AD$6:$AD$197, 0)), "")</f>
        <v>0.15583089457983315</v>
      </c>
      <c r="V56" s="836"/>
      <c r="W56" s="836">
        <f>IF(ISNUMBER(INDEX(Database!$U$6:$U$197, MATCH($B56&amp;"% GDP", Database!$AD$6:$AD$197, 0))), INDEX(Database!$U$6:$U$197, MATCH($B56&amp;"% GDP", Database!$AD$6:$AD$197, 0)), "")</f>
        <v>6.0596968324112392</v>
      </c>
      <c r="X56" s="836" t="str">
        <f>IF(ISNUMBER(INDEX(Database!$W$6:$W$197, MATCH($B56&amp;"% GDP", Database!$AD$6:$AD$197, 0))), INDEX(Database!$W$6:$W$197, MATCH($B56&amp;"% GDP", Database!$AD$6:$AD$197, 0)), "")</f>
        <v/>
      </c>
      <c r="AB56" s="563"/>
    </row>
    <row r="57" spans="2:28">
      <c r="B57" s="7" t="s">
        <v>184</v>
      </c>
      <c r="C57" s="831">
        <f>IF(ISNUMBER(INDEX(Database!$G$6:$G$197, MATCH($B57&amp;"USD bn", Database!$AD$6:$AD$197, 0))), INDEX(Database!$G$6:$G$197, MATCH($B57&amp;"USD bn", Database!$AD$6:$AD$197, 0)), "")</f>
        <v>93.92749702486816</v>
      </c>
      <c r="D57" s="832">
        <f>IF(ISNUMBER(INDEX(Database!$H$6:$H$197, MATCH($B57&amp;"USD bn", Database!$AD$6:$AD$197, 0))), INDEX(Database!$H$6:$H$197, MATCH($B57&amp;"USD bn", Database!$AD$6:$AD$197, 0)), "")</f>
        <v>18.94527886528325</v>
      </c>
      <c r="E57" s="832">
        <f>IF(ISNUMBER(INDEX(Database!$J$6:$J$197, MATCH($B57&amp;"USD bn", Database!$AD$6:$AD$197, 0))), INDEX(Database!$J$6:$J$197, MATCH($B57&amp;"USD bn", Database!$AD$6:$AD$197, 0)), "")</f>
        <v>74.982218159584903</v>
      </c>
      <c r="F57" s="833">
        <f>IF(ISNUMBER(INDEX(Database!$L$6:$L$197, MATCH($B57&amp;"USD bn", Database!$AD$6:$AD$197, 0))), INDEX(Database!$L$6:$L$197, MATCH($B57&amp;"USD bn", Database!$AD$6:$AD$197, 0)), "")</f>
        <v>13.124741382575744</v>
      </c>
      <c r="G57" s="832"/>
      <c r="H57" s="831">
        <f>IF(ISNUMBER(INDEX(Database!$P$6:$P$197, MATCH($B57&amp;"USD bn", Database!$AD$6:$AD$197, 0))), INDEX(Database!$P$6:$P$197, MATCH($B57&amp;"USD bn", Database!$AD$6:$AD$197, 0)), "")</f>
        <v>39.716608705533552</v>
      </c>
      <c r="I57" s="837" t="str">
        <f>IF(ISNUMBER(INDEX(Database!$Q$6:$Q$197, MATCH($B57&amp;"USD bn", Database!$AD$6:$AD$197, 0))), INDEX(Database!$Q$6:$Q$197, MATCH($B57&amp;"USD bn", Database!$AD$6:$AD$197, 0)), "")</f>
        <v/>
      </c>
      <c r="J57" s="837"/>
      <c r="K57" s="837">
        <f>IF(ISNUMBER(INDEX(Database!$U$6:$U$197, MATCH($B57&amp;"USD bn", Database!$AD$6:$AD$197, 0))), INDEX(Database!$U$6:$U$197, MATCH($B57&amp;"USD bn", Database!$AD$6:$AD$197, 0)), "")</f>
        <v>39.716608705533552</v>
      </c>
      <c r="L57" s="837" t="str">
        <f>IF(ISNUMBER(INDEX(Database!$W$6:$W$197, MATCH($B57&amp;"USD bn", Database!$AD$6:$AD$197, 0))), INDEX(Database!$W$6:$W$197, MATCH($B57&amp;"USD bn", Database!$AD$6:$AD$197, 0)), "")</f>
        <v/>
      </c>
      <c r="M57" s="817"/>
      <c r="N57" s="817"/>
      <c r="O57" s="835">
        <f>IF(ISNUMBER(INDEX(Database!$G$6:$G$197, MATCH($B57&amp;"% GDP", Database!$AD$6:$AD$197, 0))), INDEX(Database!$G$6:$G$197, MATCH($B57&amp;"% GDP", Database!$AD$6:$AD$197, 0)), "")</f>
        <v>10.2862785044276</v>
      </c>
      <c r="P57" s="836">
        <f>IF(ISNUMBER(INDEX(Database!$H$6:$H$197, MATCH($B57&amp;"% GDP", Database!$AD$6:$AD$197, 0))), INDEX(Database!$H$6:$H$197, MATCH($B57&amp;"% GDP", Database!$AD$6:$AD$197, 0)), "")</f>
        <v>2.0747536230072678</v>
      </c>
      <c r="Q57" s="836">
        <f>IF(ISNUMBER(INDEX(Database!$J$6:$J$197, MATCH($B57&amp;"% GDP", Database!$AD$6:$AD$197, 0))), INDEX(Database!$J$6:$J$197, MATCH($B57&amp;"% GDP", Database!$AD$6:$AD$197, 0)), "")</f>
        <v>8.2115248814203312</v>
      </c>
      <c r="R57" s="836">
        <f>IF(ISNUMBER(INDEX(Database!$L$6:$L$197, MATCH($B57&amp;"% GDP", Database!$AD$6:$AD$197, 0))), INDEX(Database!$L$6:$L$197, MATCH($B57&amp;"% GDP", Database!$AD$6:$AD$197, 0)), "")</f>
        <v>1.4373293171435892</v>
      </c>
      <c r="S57" s="836"/>
      <c r="T57" s="835">
        <f>IF(ISNUMBER(INDEX(Database!$P$6:$P$197, MATCH($B57&amp;"% GDP", Database!$AD$6:$AD$197, 0))), INDEX(Database!$P$6:$P$197, MATCH($B57&amp;"% GDP", Database!$AD$6:$AD$197, 0)), "")</f>
        <v>4.3494834988345135</v>
      </c>
      <c r="U57" s="836" t="str">
        <f>IF(ISNUMBER(INDEX(Database!$Q$6:$Q$197, MATCH($B57&amp;"% GDP", Database!$AD$6:$AD$197, 0))), INDEX(Database!$Q$6:$Q$197, MATCH($B57&amp;"% GDP", Database!$AD$6:$AD$197, 0)), "")</f>
        <v/>
      </c>
      <c r="V57" s="836"/>
      <c r="W57" s="836">
        <f>IF(ISNUMBER(INDEX(Database!$U$6:$U$197, MATCH($B57&amp;"% GDP", Database!$AD$6:$AD$197, 0))), INDEX(Database!$U$6:$U$197, MATCH($B57&amp;"% GDP", Database!$AD$6:$AD$197, 0)), "")</f>
        <v>4.3494834988345135</v>
      </c>
      <c r="X57" s="836" t="str">
        <f>IF(ISNUMBER(INDEX(Database!$W$6:$W$197, MATCH($B57&amp;"% GDP", Database!$AD$6:$AD$197, 0))), INDEX(Database!$W$6:$W$197, MATCH($B57&amp;"% GDP", Database!$AD$6:$AD$197, 0)), "")</f>
        <v/>
      </c>
      <c r="AB57" s="563"/>
    </row>
    <row r="58" spans="2:28">
      <c r="B58" s="838" t="s">
        <v>870</v>
      </c>
      <c r="C58" s="831"/>
      <c r="D58" s="832"/>
      <c r="E58" s="832"/>
      <c r="F58" s="833"/>
      <c r="G58" s="832"/>
      <c r="H58" s="831"/>
      <c r="I58" s="837" t="str">
        <f>IF(ISNUMBER(INDEX(Database!$Q$6:$Q$197, MATCH($B58&amp;"USD bn", Database!$AD$6:$AD$197, 0))), INDEX(Database!$Q$6:$Q$197, MATCH($B58&amp;"USD bn", Database!$AD$6:$AD$197, 0)), "")</f>
        <v/>
      </c>
      <c r="J58" s="837"/>
      <c r="K58" s="837" t="str">
        <f>IF(ISNUMBER(INDEX(Database!$U$6:$U$197, MATCH($B58&amp;"USD bn", Database!$AD$6:$AD$197, 0))), INDEX(Database!$U$6:$U$197, MATCH($B58&amp;"USD bn", Database!$AD$6:$AD$197, 0)), "")</f>
        <v/>
      </c>
      <c r="L58" s="837" t="str">
        <f>IF(ISNUMBER(INDEX(Database!$W$6:$W$197, MATCH($B58&amp;"USD bn", Database!$AD$6:$AD$197, 0))), INDEX(Database!$W$6:$W$197, MATCH($B58&amp;"USD bn", Database!$AD$6:$AD$197, 0)), "")</f>
        <v/>
      </c>
      <c r="M58" s="817"/>
      <c r="N58" s="817"/>
      <c r="O58" s="835" t="str">
        <f>IF(ISNUMBER(INDEX(Database!$G$6:$G$197, MATCH($B58&amp;"% GDP", Database!$AD$6:$AD$197, 0))), INDEX(Database!$G$6:$G$197, MATCH($B58&amp;"% GDP", Database!$AD$6:$AD$197, 0)), "")</f>
        <v/>
      </c>
      <c r="P58" s="836" t="str">
        <f>IF(ISNUMBER(INDEX(Database!$H$6:$H$197, MATCH($B58&amp;"% GDP", Database!$AD$6:$AD$197, 0))), INDEX(Database!$H$6:$H$197, MATCH($B58&amp;"% GDP", Database!$AD$6:$AD$197, 0)), "")</f>
        <v/>
      </c>
      <c r="Q58" s="836" t="str">
        <f>IF(ISNUMBER(INDEX(Database!$J$6:$J$197, MATCH($B58&amp;"% GDP", Database!$AD$6:$AD$197, 0))), INDEX(Database!$J$6:$J$197, MATCH($B58&amp;"% GDP", Database!$AD$6:$AD$197, 0)), "")</f>
        <v/>
      </c>
      <c r="R58" s="836" t="str">
        <f>IF(ISNUMBER(INDEX(Database!$L$6:$L$197, MATCH($B58&amp;"% GDP", Database!$AD$6:$AD$197, 0))), INDEX(Database!$L$6:$L$197, MATCH($B58&amp;"% GDP", Database!$AD$6:$AD$197, 0)), "")</f>
        <v/>
      </c>
      <c r="S58" s="836"/>
      <c r="T58" s="835" t="str">
        <f>IF(ISNUMBER(INDEX(Database!$P$6:$P$197, MATCH($B58&amp;"% GDP", Database!$AD$6:$AD$197, 0))), INDEX(Database!$P$6:$P$197, MATCH($B58&amp;"% GDP", Database!$AD$6:$AD$197, 0)), "")</f>
        <v/>
      </c>
      <c r="U58" s="836" t="str">
        <f>IF(ISNUMBER(INDEX(Database!$Q$6:$Q$197, MATCH($B58&amp;"% GDP", Database!$AD$6:$AD$197, 0))), INDEX(Database!$Q$6:$Q$197, MATCH($B58&amp;"% GDP", Database!$AD$6:$AD$197, 0)), "")</f>
        <v/>
      </c>
      <c r="V58" s="836"/>
      <c r="W58" s="836" t="str">
        <f>IF(ISNUMBER(INDEX(Database!$U$6:$U$197, MATCH($B58&amp;"% GDP", Database!$AD$6:$AD$197, 0))), INDEX(Database!$U$6:$U$197, MATCH($B58&amp;"% GDP", Database!$AD$6:$AD$197, 0)), "")</f>
        <v/>
      </c>
      <c r="X58" s="836" t="str">
        <f>IF(ISNUMBER(INDEX(Database!$W$6:$W$197, MATCH($B58&amp;"% GDP", Database!$AD$6:$AD$197, 0))), INDEX(Database!$W$6:$W$197, MATCH($B58&amp;"% GDP", Database!$AD$6:$AD$197, 0)), "")</f>
        <v/>
      </c>
      <c r="AB58" s="565"/>
    </row>
    <row r="59" spans="2:28">
      <c r="B59" s="764" t="s">
        <v>41</v>
      </c>
      <c r="C59" s="840">
        <f>IF(ISNUMBER(INDEX(Database!$G$6:$G$197, MATCH($B59&amp;"USD bn", Database!$AD$6:$AD$197, 0))), INDEX(Database!$G$6:$G$197, MATCH($B59&amp;"USD bn", Database!$AD$6:$AD$197, 0)), "")</f>
        <v>0.33382004491368428</v>
      </c>
      <c r="D59" s="837">
        <f>IF(ISNUMBER(INDEX(Database!$H$6:$H$197, MATCH($B59&amp;"USD bn", Database!$AD$6:$AD$197, 0))), INDEX(Database!$H$6:$H$197, MATCH($B59&amp;"USD bn", Database!$AD$6:$AD$197, 0)), "")</f>
        <v>0.16783217727704566</v>
      </c>
      <c r="E59" s="837">
        <f>IF(ISNUMBER(INDEX(Database!$J$6:$J$197, MATCH($B59&amp;"USD bn", Database!$AD$6:$AD$197, 0))), INDEX(Database!$J$6:$J$197, MATCH($B59&amp;"USD bn", Database!$AD$6:$AD$197, 0)), "")</f>
        <v>0.16598786763663859</v>
      </c>
      <c r="F59" s="833" t="str">
        <f>IF(ISNUMBER(INDEX(Database!$L$6:$L$197, MATCH($B59&amp;"USD bn", Database!$AD$6:$AD$197, 0))), INDEX(Database!$L$6:$L$197, MATCH($B59&amp;"USD bn", Database!$AD$6:$AD$197, 0)), "")</f>
        <v/>
      </c>
      <c r="G59" s="837"/>
      <c r="H59" s="840">
        <f>IF(ISNUMBER(INDEX(Database!$P$6:$P$197, MATCH($B59&amp;"USD bn", Database!$AD$6:$AD$197, 0))), INDEX(Database!$P$6:$P$197, MATCH($B59&amp;"USD bn", Database!$AD$6:$AD$197, 0)), "")</f>
        <v>0.23976025325292241</v>
      </c>
      <c r="I59" s="837" t="str">
        <f>IF(ISNUMBER(INDEX(Database!$Q$6:$Q$197, MATCH($B59&amp;"USD bn", Database!$AD$6:$AD$197, 0))), INDEX(Database!$Q$6:$Q$197, MATCH($B59&amp;"USD bn", Database!$AD$6:$AD$197, 0)), "")</f>
        <v/>
      </c>
      <c r="J59" s="837"/>
      <c r="K59" s="837">
        <f>IF(ISNUMBER(INDEX(Database!$U$6:$U$197, MATCH($B59&amp;"USD bn", Database!$AD$6:$AD$197, 0))), INDEX(Database!$U$6:$U$197, MATCH($B59&amp;"USD bn", Database!$AD$6:$AD$197, 0)), "")</f>
        <v>0.23976025325292241</v>
      </c>
      <c r="L59" s="837" t="str">
        <f>IF(ISNUMBER(INDEX(Database!$W$6:$W$197, MATCH($B59&amp;"USD bn", Database!$AD$6:$AD$197, 0))), INDEX(Database!$W$6:$W$197, MATCH($B59&amp;"USD bn", Database!$AD$6:$AD$197, 0)), "")</f>
        <v/>
      </c>
      <c r="M59" s="817"/>
      <c r="N59" s="817"/>
      <c r="O59" s="835">
        <f>IF(ISNUMBER(INDEX(Database!$G$6:$G$197, MATCH($B59&amp;"% GDP", Database!$AD$6:$AD$197, 0))), INDEX(Database!$G$6:$G$197, MATCH($B59&amp;"% GDP", Database!$AD$6:$AD$197, 0)), "")</f>
        <v>2.2512745821149296</v>
      </c>
      <c r="P59" s="836">
        <f>IF(ISNUMBER(INDEX(Database!$H$6:$H$197, MATCH($B59&amp;"% GDP", Database!$AD$6:$AD$197, 0))), INDEX(Database!$H$6:$H$197, MATCH($B59&amp;"% GDP", Database!$AD$6:$AD$197, 0)), "")</f>
        <v>1.1318562816157931</v>
      </c>
      <c r="Q59" s="836">
        <f>IF(ISNUMBER(INDEX(Database!$J$6:$J$197, MATCH($B59&amp;"% GDP", Database!$AD$6:$AD$197, 0))), INDEX(Database!$J$6:$J$197, MATCH($B59&amp;"% GDP", Database!$AD$6:$AD$197, 0)), "")</f>
        <v>1.119418300499136</v>
      </c>
      <c r="R59" s="836" t="str">
        <f>IF(ISNUMBER(INDEX(Database!$L$6:$L$197, MATCH($B59&amp;"% GDP", Database!$AD$6:$AD$197, 0))), INDEX(Database!$L$6:$L$197, MATCH($B59&amp;"% GDP", Database!$AD$6:$AD$197, 0)), "")</f>
        <v/>
      </c>
      <c r="S59" s="836"/>
      <c r="T59" s="835">
        <f>IF(ISNUMBER(INDEX(Database!$P$6:$P$197, MATCH($B59&amp;"% GDP", Database!$AD$6:$AD$197, 0))), INDEX(Database!$P$6:$P$197, MATCH($B59&amp;"% GDP", Database!$AD$6:$AD$197, 0)), "")</f>
        <v>1.6169375451654189</v>
      </c>
      <c r="U59" s="836" t="str">
        <f>IF(ISNUMBER(INDEX(Database!$Q$6:$Q$197, MATCH($B59&amp;"% GDP", Database!$AD$6:$AD$197, 0))), INDEX(Database!$Q$6:$Q$197, MATCH($B59&amp;"% GDP", Database!$AD$6:$AD$197, 0)), "")</f>
        <v/>
      </c>
      <c r="V59" s="836"/>
      <c r="W59" s="836">
        <f>IF(ISNUMBER(INDEX(Database!$U$6:$U$197, MATCH($B59&amp;"% GDP", Database!$AD$6:$AD$197, 0))), INDEX(Database!$U$6:$U$197, MATCH($B59&amp;"% GDP", Database!$AD$6:$AD$197, 0)), "")</f>
        <v>1.6169375451654189</v>
      </c>
      <c r="X59" s="836" t="str">
        <f>IF(ISNUMBER(INDEX(Database!$W$6:$W$197, MATCH($B59&amp;"% GDP", Database!$AD$6:$AD$197, 0))), INDEX(Database!$W$6:$W$197, MATCH($B59&amp;"% GDP", Database!$AD$6:$AD$197, 0)), "")</f>
        <v/>
      </c>
      <c r="AB59" s="562"/>
    </row>
    <row r="60" spans="2:28">
      <c r="B60" s="764" t="s">
        <v>1027</v>
      </c>
      <c r="C60" s="839">
        <v>0.56448952131791386</v>
      </c>
      <c r="D60" s="833">
        <v>0.23547277174975836</v>
      </c>
      <c r="E60" s="833">
        <v>0.32901674956815552</v>
      </c>
      <c r="F60" s="833" t="s">
        <v>452</v>
      </c>
      <c r="G60" s="837"/>
      <c r="H60" s="839" t="s">
        <v>452</v>
      </c>
      <c r="I60" s="833" t="s">
        <v>452</v>
      </c>
      <c r="J60" s="837"/>
      <c r="K60" s="833" t="s">
        <v>452</v>
      </c>
      <c r="L60" s="833" t="s">
        <v>452</v>
      </c>
      <c r="M60" s="817"/>
      <c r="N60" s="817"/>
      <c r="O60" s="839">
        <v>0.38399043139413336</v>
      </c>
      <c r="P60" s="833">
        <v>0.16017886566726702</v>
      </c>
      <c r="Q60" s="833">
        <v>0.22381156572686625</v>
      </c>
      <c r="R60" s="833" t="s">
        <v>452</v>
      </c>
      <c r="S60" s="832"/>
      <c r="T60" s="839" t="s">
        <v>452</v>
      </c>
      <c r="U60" s="833" t="s">
        <v>452</v>
      </c>
      <c r="V60" s="837"/>
      <c r="W60" s="833" t="s">
        <v>452</v>
      </c>
      <c r="X60" s="833" t="s">
        <v>452</v>
      </c>
      <c r="AB60" s="717"/>
    </row>
    <row r="61" spans="2:28">
      <c r="B61" s="764" t="s">
        <v>1028</v>
      </c>
      <c r="C61" s="839">
        <v>0.30338656061823427</v>
      </c>
      <c r="D61" s="833" t="s">
        <v>452</v>
      </c>
      <c r="E61" s="833" t="s">
        <v>452</v>
      </c>
      <c r="F61" s="833" t="s">
        <v>452</v>
      </c>
      <c r="G61" s="837"/>
      <c r="H61" s="839" t="s">
        <v>452</v>
      </c>
      <c r="I61" s="833" t="s">
        <v>452</v>
      </c>
      <c r="J61" s="837"/>
      <c r="K61" s="833" t="s">
        <v>452</v>
      </c>
      <c r="L61" s="833" t="s">
        <v>452</v>
      </c>
      <c r="M61" s="817"/>
      <c r="N61" s="817"/>
      <c r="O61" s="839">
        <v>0.49094274626459383</v>
      </c>
      <c r="P61" s="833" t="s">
        <v>452</v>
      </c>
      <c r="Q61" s="833" t="s">
        <v>452</v>
      </c>
      <c r="R61" s="833" t="s">
        <v>452</v>
      </c>
      <c r="S61" s="832"/>
      <c r="T61" s="839" t="s">
        <v>452</v>
      </c>
      <c r="U61" s="833" t="s">
        <v>452</v>
      </c>
      <c r="V61" s="837"/>
      <c r="W61" s="833" t="s">
        <v>452</v>
      </c>
      <c r="X61" s="833" t="s">
        <v>452</v>
      </c>
      <c r="AB61" s="717"/>
    </row>
    <row r="62" spans="2:28">
      <c r="B62" s="764" t="s">
        <v>1029</v>
      </c>
      <c r="C62" s="839" t="s">
        <v>452</v>
      </c>
      <c r="D62" s="833" t="s">
        <v>452</v>
      </c>
      <c r="E62" s="833" t="s">
        <v>452</v>
      </c>
      <c r="F62" s="833" t="s">
        <v>452</v>
      </c>
      <c r="G62" s="837"/>
      <c r="H62" s="839" t="s">
        <v>452</v>
      </c>
      <c r="I62" s="833" t="s">
        <v>452</v>
      </c>
      <c r="J62" s="837"/>
      <c r="K62" s="833" t="s">
        <v>452</v>
      </c>
      <c r="L62" s="833" t="s">
        <v>452</v>
      </c>
      <c r="M62" s="817"/>
      <c r="N62" s="817"/>
      <c r="O62" s="839" t="s">
        <v>452</v>
      </c>
      <c r="P62" s="833" t="s">
        <v>452</v>
      </c>
      <c r="Q62" s="833" t="s">
        <v>452</v>
      </c>
      <c r="R62" s="833" t="s">
        <v>452</v>
      </c>
      <c r="S62" s="832"/>
      <c r="T62" s="839" t="s">
        <v>452</v>
      </c>
      <c r="U62" s="833" t="s">
        <v>452</v>
      </c>
      <c r="V62" s="837"/>
      <c r="W62" s="833" t="s">
        <v>452</v>
      </c>
      <c r="X62" s="833" t="s">
        <v>452</v>
      </c>
      <c r="AB62" s="717"/>
    </row>
    <row r="63" spans="2:28">
      <c r="B63" s="764" t="s">
        <v>1030</v>
      </c>
      <c r="C63" s="839">
        <v>7.407407407407407E-2</v>
      </c>
      <c r="D63" s="833">
        <v>3.7037037037037034E-3</v>
      </c>
      <c r="E63" s="833">
        <v>7.0370370370370361E-2</v>
      </c>
      <c r="F63" s="833" t="s">
        <v>452</v>
      </c>
      <c r="G63" s="837"/>
      <c r="H63" s="839" t="s">
        <v>452</v>
      </c>
      <c r="I63" s="833">
        <v>0</v>
      </c>
      <c r="J63" s="837"/>
      <c r="K63" s="833" t="s">
        <v>452</v>
      </c>
      <c r="L63" s="833" t="s">
        <v>452</v>
      </c>
      <c r="M63" s="817"/>
      <c r="N63" s="817"/>
      <c r="O63" s="839">
        <v>5.1950996245431096</v>
      </c>
      <c r="P63" s="833">
        <v>0.25975498122715551</v>
      </c>
      <c r="Q63" s="833">
        <v>4.935344643315954</v>
      </c>
      <c r="R63" s="833" t="s">
        <v>452</v>
      </c>
      <c r="S63" s="832"/>
      <c r="T63" s="839" t="s">
        <v>452</v>
      </c>
      <c r="U63" s="833">
        <v>0</v>
      </c>
      <c r="V63" s="837"/>
      <c r="W63" s="833" t="s">
        <v>452</v>
      </c>
      <c r="X63" s="833" t="s">
        <v>452</v>
      </c>
      <c r="AB63" s="717"/>
    </row>
    <row r="64" spans="2:28">
      <c r="B64" s="764" t="s">
        <v>1031</v>
      </c>
      <c r="C64" s="839">
        <v>0.19763564716580781</v>
      </c>
      <c r="D64" s="833">
        <v>7.901384257855916E-2</v>
      </c>
      <c r="E64" s="833">
        <v>0.11862180458724865</v>
      </c>
      <c r="F64" s="833">
        <v>0</v>
      </c>
      <c r="G64" s="837"/>
      <c r="H64" s="839">
        <v>0.18450035364251793</v>
      </c>
      <c r="I64" s="833">
        <v>0.18450035364251793</v>
      </c>
      <c r="J64" s="837"/>
      <c r="K64" s="833">
        <v>0</v>
      </c>
      <c r="L64" s="833">
        <v>0</v>
      </c>
      <c r="M64" s="817"/>
      <c r="N64" s="817"/>
      <c r="O64" s="839">
        <v>1.5425079174288208</v>
      </c>
      <c r="P64" s="833">
        <v>0.61668772567962049</v>
      </c>
      <c r="Q64" s="833">
        <v>0.92582019174920016</v>
      </c>
      <c r="R64" s="833">
        <v>0</v>
      </c>
      <c r="S64" s="832"/>
      <c r="T64" s="839">
        <v>1.439989497558807</v>
      </c>
      <c r="U64" s="833">
        <v>1.439989497558807</v>
      </c>
      <c r="V64" s="837"/>
      <c r="W64" s="833">
        <v>0</v>
      </c>
      <c r="X64" s="833">
        <v>0</v>
      </c>
      <c r="AB64" s="717"/>
    </row>
    <row r="65" spans="2:28">
      <c r="B65" s="764" t="s">
        <v>1032</v>
      </c>
      <c r="C65" s="839">
        <v>0.22905027932960892</v>
      </c>
      <c r="D65" s="833">
        <v>8.9385474860335198E-2</v>
      </c>
      <c r="E65" s="833">
        <v>0.13966480446927373</v>
      </c>
      <c r="F65" s="833" t="s">
        <v>452</v>
      </c>
      <c r="G65" s="837"/>
      <c r="H65" s="839" t="s">
        <v>452</v>
      </c>
      <c r="I65" s="833" t="s">
        <v>452</v>
      </c>
      <c r="J65" s="837"/>
      <c r="K65" s="833" t="s">
        <v>452</v>
      </c>
      <c r="L65" s="833" t="s">
        <v>452</v>
      </c>
      <c r="M65" s="817"/>
      <c r="N65" s="817"/>
      <c r="O65" s="839">
        <v>9.4748153343323285</v>
      </c>
      <c r="P65" s="833">
        <v>3.6974889109589579</v>
      </c>
      <c r="Q65" s="833">
        <v>5.7773264233733714</v>
      </c>
      <c r="R65" s="833" t="s">
        <v>452</v>
      </c>
      <c r="S65" s="832"/>
      <c r="T65" s="839" t="s">
        <v>452</v>
      </c>
      <c r="U65" s="833" t="s">
        <v>452</v>
      </c>
      <c r="V65" s="837"/>
      <c r="W65" s="833" t="s">
        <v>452</v>
      </c>
      <c r="X65" s="833" t="s">
        <v>452</v>
      </c>
      <c r="AB65" s="717"/>
    </row>
    <row r="66" spans="2:28">
      <c r="B66" s="764" t="s">
        <v>1033</v>
      </c>
      <c r="C66" s="839">
        <v>1.9411764705882353</v>
      </c>
      <c r="D66" s="833">
        <v>0.21764705882352942</v>
      </c>
      <c r="E66" s="833">
        <v>1.7235294117647058</v>
      </c>
      <c r="F66" s="833" t="s">
        <v>452</v>
      </c>
      <c r="G66" s="837"/>
      <c r="H66" s="839">
        <v>0.96470588235294108</v>
      </c>
      <c r="I66" s="833">
        <v>0.6705882352941176</v>
      </c>
      <c r="J66" s="837"/>
      <c r="K66" s="833">
        <v>0.29411764705882354</v>
      </c>
      <c r="L66" s="833">
        <v>0</v>
      </c>
      <c r="M66" s="817"/>
      <c r="N66" s="817"/>
      <c r="O66" s="839">
        <v>4.6616362731568666</v>
      </c>
      <c r="P66" s="833">
        <v>0.52266830941455777</v>
      </c>
      <c r="Q66" s="833">
        <v>4.1389679637423082</v>
      </c>
      <c r="R66" s="833" t="s">
        <v>452</v>
      </c>
      <c r="S66" s="832"/>
      <c r="T66" s="839">
        <v>2.3166919660537153</v>
      </c>
      <c r="U66" s="833">
        <v>1.6103834398178265</v>
      </c>
      <c r="V66" s="837"/>
      <c r="W66" s="833">
        <v>0.70630852623588891</v>
      </c>
      <c r="X66" s="833">
        <v>0</v>
      </c>
      <c r="AB66" s="717"/>
    </row>
    <row r="67" spans="2:28">
      <c r="B67" s="764" t="s">
        <v>1034</v>
      </c>
      <c r="C67" s="839">
        <v>0.23</v>
      </c>
      <c r="D67" s="833">
        <v>0.04</v>
      </c>
      <c r="E67" s="833">
        <v>0.19</v>
      </c>
      <c r="F67" s="833">
        <v>0.09</v>
      </c>
      <c r="G67" s="837"/>
      <c r="H67" s="839">
        <v>0.08</v>
      </c>
      <c r="I67" s="833">
        <v>0.08</v>
      </c>
      <c r="J67" s="837"/>
      <c r="K67" s="833" t="s">
        <v>452</v>
      </c>
      <c r="L67" s="833" t="s">
        <v>452</v>
      </c>
      <c r="M67" s="817"/>
      <c r="N67" s="817"/>
      <c r="O67" s="839">
        <v>2.0457019943271995</v>
      </c>
      <c r="P67" s="833">
        <v>0.35577425988299122</v>
      </c>
      <c r="Q67" s="833">
        <v>1.6899277344442083</v>
      </c>
      <c r="R67" s="833">
        <v>0.80049208473673017</v>
      </c>
      <c r="S67" s="832"/>
      <c r="T67" s="839">
        <v>0.71154851976598243</v>
      </c>
      <c r="U67" s="833">
        <v>0.71154851976598243</v>
      </c>
      <c r="V67" s="837"/>
      <c r="W67" s="833" t="s">
        <v>452</v>
      </c>
      <c r="X67" s="833" t="s">
        <v>452</v>
      </c>
      <c r="AB67" s="717"/>
    </row>
    <row r="68" spans="2:28">
      <c r="B68" s="764" t="s">
        <v>26</v>
      </c>
      <c r="C68" s="839">
        <v>1.9680851063829787</v>
      </c>
      <c r="D68" s="833">
        <v>0.47872340425531912</v>
      </c>
      <c r="E68" s="833">
        <v>1.4893617021276597</v>
      </c>
      <c r="F68" s="833">
        <v>0</v>
      </c>
      <c r="G68" s="837"/>
      <c r="H68" s="839">
        <v>0.26595744680851063</v>
      </c>
      <c r="I68" s="833">
        <v>0</v>
      </c>
      <c r="J68" s="837"/>
      <c r="K68" s="833">
        <v>0.26595744680851063</v>
      </c>
      <c r="L68" s="833">
        <v>0</v>
      </c>
      <c r="M68" s="817"/>
      <c r="N68" s="817"/>
      <c r="O68" s="839">
        <v>5.6809916761716019</v>
      </c>
      <c r="P68" s="833">
        <v>1.3818628401498489</v>
      </c>
      <c r="Q68" s="833">
        <v>4.2991288360217528</v>
      </c>
      <c r="R68" s="833">
        <v>0</v>
      </c>
      <c r="S68" s="832"/>
      <c r="T68" s="839">
        <v>0.76770157786102733</v>
      </c>
      <c r="U68" s="833">
        <v>0</v>
      </c>
      <c r="V68" s="837"/>
      <c r="W68" s="833">
        <v>0.76770157786102733</v>
      </c>
      <c r="X68" s="833">
        <v>0</v>
      </c>
      <c r="AB68" s="717"/>
    </row>
    <row r="69" spans="2:28">
      <c r="B69" s="764" t="s">
        <v>1035</v>
      </c>
      <c r="C69" s="839">
        <v>8.5000000000000006E-2</v>
      </c>
      <c r="D69" s="833">
        <v>0.02</v>
      </c>
      <c r="E69" s="833">
        <v>6.5000000000000002E-2</v>
      </c>
      <c r="F69" s="833">
        <v>6.5000000000000002E-2</v>
      </c>
      <c r="G69" s="837"/>
      <c r="H69" s="839">
        <v>0.14000000000000001</v>
      </c>
      <c r="I69" s="833">
        <v>0.04</v>
      </c>
      <c r="J69" s="837"/>
      <c r="K69" s="833">
        <v>0.1</v>
      </c>
      <c r="L69" s="833" t="s">
        <v>452</v>
      </c>
      <c r="M69" s="817"/>
      <c r="N69" s="817"/>
      <c r="O69" s="839">
        <v>1.8358026431863639</v>
      </c>
      <c r="P69" s="833">
        <v>0.4319535631026738</v>
      </c>
      <c r="Q69" s="833">
        <v>1.40384908008369</v>
      </c>
      <c r="R69" s="833">
        <v>1.40384908008369</v>
      </c>
      <c r="S69" s="832"/>
      <c r="T69" s="839">
        <v>3.023674941718717</v>
      </c>
      <c r="U69" s="833">
        <v>0.8639071262053476</v>
      </c>
      <c r="V69" s="837"/>
      <c r="W69" s="833">
        <v>2.1597678155133693</v>
      </c>
      <c r="X69" s="833" t="s">
        <v>452</v>
      </c>
      <c r="AB69" s="717"/>
    </row>
    <row r="70" spans="2:28">
      <c r="B70" s="764" t="s">
        <v>1036</v>
      </c>
      <c r="C70" s="839" t="s">
        <v>452</v>
      </c>
      <c r="D70" s="833">
        <v>0</v>
      </c>
      <c r="E70" s="833" t="s">
        <v>452</v>
      </c>
      <c r="F70" s="833" t="s">
        <v>452</v>
      </c>
      <c r="G70" s="837"/>
      <c r="H70" s="839" t="s">
        <v>452</v>
      </c>
      <c r="I70" s="833" t="s">
        <v>452</v>
      </c>
      <c r="J70" s="837"/>
      <c r="K70" s="833" t="s">
        <v>452</v>
      </c>
      <c r="L70" s="833" t="s">
        <v>452</v>
      </c>
      <c r="M70" s="817"/>
      <c r="N70" s="817"/>
      <c r="O70" s="839" t="s">
        <v>452</v>
      </c>
      <c r="P70" s="833">
        <v>0</v>
      </c>
      <c r="Q70" s="833" t="s">
        <v>452</v>
      </c>
      <c r="R70" s="833" t="s">
        <v>452</v>
      </c>
      <c r="S70" s="832"/>
      <c r="T70" s="839" t="s">
        <v>452</v>
      </c>
      <c r="U70" s="833" t="s">
        <v>452</v>
      </c>
      <c r="V70" s="837"/>
      <c r="W70" s="833" t="s">
        <v>452</v>
      </c>
      <c r="X70" s="833" t="s">
        <v>452</v>
      </c>
      <c r="AB70" s="717"/>
    </row>
    <row r="71" spans="2:28">
      <c r="B71" s="764" t="s">
        <v>1037</v>
      </c>
      <c r="C71" s="839">
        <v>0.01</v>
      </c>
      <c r="D71" s="833" t="s">
        <v>452</v>
      </c>
      <c r="E71" s="833" t="s">
        <v>452</v>
      </c>
      <c r="F71" s="833" t="s">
        <v>452</v>
      </c>
      <c r="G71" s="837"/>
      <c r="H71" s="839">
        <v>5.5E-2</v>
      </c>
      <c r="I71" s="833">
        <v>5.5E-2</v>
      </c>
      <c r="J71" s="837"/>
      <c r="K71" s="833" t="s">
        <v>452</v>
      </c>
      <c r="L71" s="833" t="s">
        <v>452</v>
      </c>
      <c r="M71" s="817"/>
      <c r="N71" s="817"/>
      <c r="O71" s="839">
        <v>0.66157188200799411</v>
      </c>
      <c r="P71" s="833" t="s">
        <v>452</v>
      </c>
      <c r="Q71" s="833" t="s">
        <v>452</v>
      </c>
      <c r="R71" s="833" t="s">
        <v>452</v>
      </c>
      <c r="S71" s="832"/>
      <c r="T71" s="839">
        <v>3.6386453510439676</v>
      </c>
      <c r="U71" s="833">
        <v>3.6386453510439676</v>
      </c>
      <c r="V71" s="837"/>
      <c r="W71" s="833" t="s">
        <v>452</v>
      </c>
      <c r="X71" s="833" t="s">
        <v>452</v>
      </c>
      <c r="AB71" s="717"/>
    </row>
    <row r="72" spans="2:28">
      <c r="B72" s="764" t="s">
        <v>1038</v>
      </c>
      <c r="C72" s="839">
        <v>2.0262390670553936</v>
      </c>
      <c r="D72" s="833">
        <v>0.49708454810495628</v>
      </c>
      <c r="E72" s="833">
        <v>1.5291545189504372</v>
      </c>
      <c r="F72" s="833">
        <v>0</v>
      </c>
      <c r="G72" s="837"/>
      <c r="H72" s="839">
        <v>4.1399416909620994</v>
      </c>
      <c r="I72" s="833">
        <v>0.23323615160349853</v>
      </c>
      <c r="J72" s="837"/>
      <c r="K72" s="833">
        <v>2.8862973760932946</v>
      </c>
      <c r="L72" s="833">
        <v>1.0204081632653061</v>
      </c>
      <c r="M72" s="817"/>
      <c r="N72" s="817"/>
      <c r="O72" s="839">
        <v>5.1996223481361392</v>
      </c>
      <c r="P72" s="833">
        <v>1.2755908062693695</v>
      </c>
      <c r="Q72" s="833">
        <v>3.9240315418667704</v>
      </c>
      <c r="R72" s="833">
        <v>0</v>
      </c>
      <c r="S72" s="832"/>
      <c r="T72" s="839">
        <v>10.623688826407655</v>
      </c>
      <c r="U72" s="833">
        <v>0.59851768036099451</v>
      </c>
      <c r="V72" s="837"/>
      <c r="W72" s="833">
        <v>7.4066562944673082</v>
      </c>
      <c r="X72" s="833">
        <v>2.6185148515793513</v>
      </c>
      <c r="AB72" s="717"/>
    </row>
    <row r="73" spans="2:28">
      <c r="B73" s="764" t="s">
        <v>1039</v>
      </c>
      <c r="C73" s="839">
        <v>0.96054163822223182</v>
      </c>
      <c r="D73" s="833" t="s">
        <v>452</v>
      </c>
      <c r="E73" s="833" t="s">
        <v>452</v>
      </c>
      <c r="F73" s="833" t="s">
        <v>452</v>
      </c>
      <c r="G73" s="837"/>
      <c r="H73" s="839" t="s">
        <v>452</v>
      </c>
      <c r="I73" s="833" t="s">
        <v>452</v>
      </c>
      <c r="J73" s="837"/>
      <c r="K73" s="833" t="s">
        <v>452</v>
      </c>
      <c r="L73" s="833" t="s">
        <v>452</v>
      </c>
      <c r="M73" s="817"/>
      <c r="N73" s="817"/>
      <c r="O73" s="839">
        <v>5.2732233278483216</v>
      </c>
      <c r="P73" s="833" t="s">
        <v>452</v>
      </c>
      <c r="Q73" s="833" t="s">
        <v>452</v>
      </c>
      <c r="R73" s="833" t="s">
        <v>452</v>
      </c>
      <c r="S73" s="832"/>
      <c r="T73" s="839" t="s">
        <v>452</v>
      </c>
      <c r="U73" s="833" t="s">
        <v>452</v>
      </c>
      <c r="V73" s="837"/>
      <c r="W73" s="833" t="s">
        <v>452</v>
      </c>
      <c r="X73" s="833" t="s">
        <v>452</v>
      </c>
      <c r="AB73" s="717"/>
    </row>
    <row r="74" spans="2:28">
      <c r="B74" s="764" t="s">
        <v>1040</v>
      </c>
      <c r="C74" s="839">
        <v>0.17676267382788977</v>
      </c>
      <c r="D74" s="833" t="s">
        <v>452</v>
      </c>
      <c r="E74" s="833" t="s">
        <v>452</v>
      </c>
      <c r="F74" s="833" t="s">
        <v>452</v>
      </c>
      <c r="G74" s="837"/>
      <c r="H74" s="839" t="s">
        <v>452</v>
      </c>
      <c r="I74" s="833" t="s">
        <v>452</v>
      </c>
      <c r="J74" s="837"/>
      <c r="K74" s="833" t="s">
        <v>452</v>
      </c>
      <c r="L74" s="833" t="s">
        <v>452</v>
      </c>
      <c r="M74" s="817"/>
      <c r="N74" s="817"/>
      <c r="O74" s="839">
        <v>1.120607166917954</v>
      </c>
      <c r="P74" s="833" t="s">
        <v>452</v>
      </c>
      <c r="Q74" s="833" t="s">
        <v>452</v>
      </c>
      <c r="R74" s="833" t="s">
        <v>452</v>
      </c>
      <c r="S74" s="832"/>
      <c r="T74" s="839" t="s">
        <v>452</v>
      </c>
      <c r="U74" s="833" t="s">
        <v>452</v>
      </c>
      <c r="V74" s="837"/>
      <c r="W74" s="833" t="s">
        <v>452</v>
      </c>
      <c r="X74" s="833" t="s">
        <v>452</v>
      </c>
      <c r="AB74" s="717"/>
    </row>
    <row r="75" spans="2:28">
      <c r="B75" s="764" t="s">
        <v>1041</v>
      </c>
      <c r="C75" s="839">
        <v>0.14333727581004346</v>
      </c>
      <c r="D75" s="833" t="s">
        <v>452</v>
      </c>
      <c r="E75" s="833" t="s">
        <v>452</v>
      </c>
      <c r="F75" s="833" t="s">
        <v>452</v>
      </c>
      <c r="G75" s="837"/>
      <c r="H75" s="839" t="s">
        <v>452</v>
      </c>
      <c r="I75" s="833" t="s">
        <v>452</v>
      </c>
      <c r="J75" s="837"/>
      <c r="K75" s="833" t="s">
        <v>452</v>
      </c>
      <c r="L75" s="833" t="s">
        <v>452</v>
      </c>
      <c r="M75" s="817"/>
      <c r="N75" s="817"/>
      <c r="O75" s="839">
        <v>1.3627058392949036</v>
      </c>
      <c r="P75" s="833" t="s">
        <v>452</v>
      </c>
      <c r="Q75" s="833" t="s">
        <v>452</v>
      </c>
      <c r="R75" s="833" t="s">
        <v>452</v>
      </c>
      <c r="S75" s="832"/>
      <c r="T75" s="839" t="s">
        <v>452</v>
      </c>
      <c r="U75" s="833" t="s">
        <v>452</v>
      </c>
      <c r="V75" s="837"/>
      <c r="W75" s="833" t="s">
        <v>452</v>
      </c>
      <c r="X75" s="833" t="s">
        <v>452</v>
      </c>
      <c r="AB75" s="717"/>
    </row>
    <row r="76" spans="2:28">
      <c r="B76" s="764" t="s">
        <v>27</v>
      </c>
      <c r="C76" s="840">
        <f>IF(ISNUMBER(INDEX(Database!$G$6:$G$197, MATCH($B76&amp;"USD bn", Database!$AD$6:$AD$197, 0))), INDEX(Database!$G$6:$G$197, MATCH($B76&amp;"USD bn", Database!$AD$6:$AD$197, 0)), "")</f>
        <v>3.6598885495522917</v>
      </c>
      <c r="D76" s="837">
        <f>IF(ISNUMBER(INDEX(Database!$H$6:$H$197, MATCH($B76&amp;"USD bn", Database!$AD$6:$AD$197, 0))), INDEX(Database!$H$6:$H$197, MATCH($B76&amp;"USD bn", Database!$AD$6:$AD$197, 0)), "")</f>
        <v>0.9949154937797603</v>
      </c>
      <c r="E76" s="837">
        <f>IF(ISNUMBER(INDEX(Database!$J$6:$J$197, MATCH($B76&amp;"USD bn", Database!$AD$6:$AD$197, 0))), INDEX(Database!$J$6:$J$197, MATCH($B76&amp;"USD bn", Database!$AD$6:$AD$197, 0)), "")</f>
        <v>2.6649730557725313</v>
      </c>
      <c r="F76" s="833">
        <f>IF(ISNUMBER(INDEX(Database!$L$6:$L$197, MATCH($B76&amp;"USD bn", Database!$AD$6:$AD$197, 0))), INDEX(Database!$L$6:$L$197, MATCH($B76&amp;"USD bn", Database!$AD$6:$AD$197, 0)), "")</f>
        <v>0.35011688930666052</v>
      </c>
      <c r="G76" s="837"/>
      <c r="H76" s="840">
        <f>IF(ISNUMBER(INDEX(Database!$P$6:$P$197, MATCH($B76&amp;"USD bn", Database!$AD$6:$AD$197, 0))), INDEX(Database!$P$6:$P$197, MATCH($B76&amp;"USD bn", Database!$AD$6:$AD$197, 0)), "")</f>
        <v>2.6970671039589753</v>
      </c>
      <c r="I76" s="837">
        <f>IF(ISNUMBER(INDEX(Database!$Q$6:$Q$197, MATCH($B76&amp;"USD bn", Database!$AD$6:$AD$197, 0))), INDEX(Database!$Q$6:$Q$197, MATCH($B76&amp;"USD bn", Database!$AD$6:$AD$197, 0)), "")</f>
        <v>0.94648265742567239</v>
      </c>
      <c r="J76" s="837"/>
      <c r="K76" s="837" t="str">
        <f>IF(ISNUMBER(INDEX(Database!$U$6:$U$197, MATCH($B76&amp;"USD bn", Database!$AD$6:$AD$197, 0))), INDEX(Database!$U$6:$U$197, MATCH($B76&amp;"USD bn", Database!$AD$6:$AD$197, 0)), "")</f>
        <v/>
      </c>
      <c r="L76" s="837">
        <f>IF(ISNUMBER(INDEX(Database!$W$6:$W$197, MATCH($B76&amp;"USD bn", Database!$AD$6:$AD$197, 0))), INDEX(Database!$W$6:$W$197, MATCH($B76&amp;"USD bn", Database!$AD$6:$AD$197, 0)), "")</f>
        <v>1.7505844465333027</v>
      </c>
      <c r="M76" s="817"/>
      <c r="N76" s="817"/>
      <c r="O76" s="835">
        <f>IF(ISNUMBER(INDEX(Database!$G$6:$G$197, MATCH($B76&amp;"% GDP", Database!$AD$6:$AD$197, 0))), INDEX(Database!$G$6:$G$197, MATCH($B76&amp;"% GDP", Database!$AD$6:$AD$197, 0)), "")</f>
        <v>5.2881375195675631</v>
      </c>
      <c r="P76" s="836">
        <f>IF(ISNUMBER(INDEX(Database!$H$6:$H$197, MATCH($B76&amp;"% GDP", Database!$AD$6:$AD$197, 0))), INDEX(Database!$H$6:$H$197, MATCH($B76&amp;"% GDP", Database!$AD$6:$AD$197, 0)), "")</f>
        <v>1.4375437612982611</v>
      </c>
      <c r="Q76" s="836">
        <f>IF(ISNUMBER(INDEX(Database!$J$6:$J$197, MATCH($B76&amp;"% GDP", Database!$AD$6:$AD$197, 0))), INDEX(Database!$J$6:$J$197, MATCH($B76&amp;"% GDP", Database!$AD$6:$AD$197, 0)), "")</f>
        <v>3.8505937582693015</v>
      </c>
      <c r="R76" s="836">
        <f>IF(ISNUMBER(INDEX(Database!$L$6:$L$197, MATCH($B76&amp;"% GDP", Database!$AD$6:$AD$197, 0))), INDEX(Database!$L$6:$L$197, MATCH($B76&amp;"% GDP", Database!$AD$6:$AD$197, 0)), "")</f>
        <v>0.50588050250965211</v>
      </c>
      <c r="S76" s="836"/>
      <c r="T76" s="835">
        <f>IF(ISNUMBER(INDEX(Database!$P$6:$P$197, MATCH($B76&amp;"% GDP", Database!$AD$6:$AD$197, 0))), INDEX(Database!$P$6:$P$197, MATCH($B76&amp;"% GDP", Database!$AD$6:$AD$197, 0)), "")</f>
        <v>3.8969661376660198</v>
      </c>
      <c r="U76" s="836">
        <f>IF(ISNUMBER(INDEX(Database!$Q$6:$Q$197, MATCH($B76&amp;"% GDP", Database!$AD$6:$AD$197, 0))), INDEX(Database!$Q$6:$Q$197, MATCH($B76&amp;"% GDP", Database!$AD$6:$AD$197, 0)), "")</f>
        <v>1.3675636251177596</v>
      </c>
      <c r="V76" s="836"/>
      <c r="W76" s="836" t="str">
        <f>IF(ISNUMBER(INDEX(Database!$U$6:$U$197, MATCH($B76&amp;"% GDP", Database!$AD$6:$AD$197, 0))), INDEX(Database!$U$6:$U$197, MATCH($B76&amp;"% GDP", Database!$AD$6:$AD$197, 0)), "")</f>
        <v/>
      </c>
      <c r="X76" s="836">
        <f>IF(ISNUMBER(INDEX(Database!$W$6:$W$197, MATCH($B76&amp;"% GDP", Database!$AD$6:$AD$197, 0))), INDEX(Database!$W$6:$W$197, MATCH($B76&amp;"% GDP", Database!$AD$6:$AD$197, 0)), "")</f>
        <v>2.5294025125482604</v>
      </c>
      <c r="AB76" s="562"/>
    </row>
    <row r="77" spans="2:28">
      <c r="B77" s="764" t="s">
        <v>1042</v>
      </c>
      <c r="C77" s="839">
        <v>2.9995366303519951E-2</v>
      </c>
      <c r="D77" s="833">
        <v>1.9319049483623018E-2</v>
      </c>
      <c r="E77" s="833">
        <v>1.0676316819896933E-2</v>
      </c>
      <c r="F77" s="833" t="s">
        <v>452</v>
      </c>
      <c r="G77" s="837"/>
      <c r="H77" s="839">
        <v>3.0503762342562659E-2</v>
      </c>
      <c r="I77" s="833">
        <v>0</v>
      </c>
      <c r="J77" s="837"/>
      <c r="K77" s="833">
        <v>3.0503762342562659E-2</v>
      </c>
      <c r="L77" s="833" t="s">
        <v>452</v>
      </c>
      <c r="M77" s="817"/>
      <c r="N77" s="817"/>
      <c r="O77" s="839">
        <v>1.6040763768418298</v>
      </c>
      <c r="P77" s="833">
        <v>1.0331339376269411</v>
      </c>
      <c r="Q77" s="833">
        <v>0.57094243921488852</v>
      </c>
      <c r="R77" s="833" t="s">
        <v>452</v>
      </c>
      <c r="S77" s="832"/>
      <c r="T77" s="839">
        <v>1.6312641120425384</v>
      </c>
      <c r="U77" s="833">
        <v>0</v>
      </c>
      <c r="V77" s="837"/>
      <c r="W77" s="833">
        <v>1.6312641120425384</v>
      </c>
      <c r="X77" s="833" t="s">
        <v>452</v>
      </c>
      <c r="AB77" s="717"/>
    </row>
    <row r="78" spans="2:28">
      <c r="B78" s="764" t="s">
        <v>42</v>
      </c>
      <c r="C78" s="840">
        <f>IF(ISNUMBER(INDEX(Database!$G$6:$G$197, MATCH($B78&amp;"USD bn", Database!$AD$6:$AD$197, 0))), INDEX(Database!$G$6:$G$197, MATCH($B78&amp;"USD bn", Database!$AD$6:$AD$197, 0)), "")</f>
        <v>32.063993334728984</v>
      </c>
      <c r="D78" s="837">
        <f>IF(ISNUMBER(INDEX(Database!$H$6:$H$197, MATCH($B78&amp;"USD bn", Database!$AD$6:$AD$197, 0))), INDEX(Database!$H$6:$H$197, MATCH($B78&amp;"USD bn", Database!$AD$6:$AD$197, 0)), "")</f>
        <v>1.5165334699489497</v>
      </c>
      <c r="E78" s="837">
        <f>IF(ISNUMBER(INDEX(Database!$J$6:$J$197, MATCH($B78&amp;"USD bn", Database!$AD$6:$AD$197, 0))), INDEX(Database!$J$6:$J$197, MATCH($B78&amp;"USD bn", Database!$AD$6:$AD$197, 0)), "")</f>
        <v>30.547459864780031</v>
      </c>
      <c r="F78" s="833">
        <f>IF(ISNUMBER(INDEX(Database!$L$6:$L$197, MATCH($B78&amp;"USD bn", Database!$AD$6:$AD$197, 0))), INDEX(Database!$L$6:$L$197, MATCH($B78&amp;"USD bn", Database!$AD$6:$AD$197, 0)), "")</f>
        <v>4.0446076631681755</v>
      </c>
      <c r="G78" s="837"/>
      <c r="H78" s="840">
        <f>IF(ISNUMBER(INDEX(Database!$P$6:$P$197, MATCH($B78&amp;"USD bn", Database!$AD$6:$AD$197, 0))), INDEX(Database!$P$6:$P$197, MATCH($B78&amp;"USD bn", Database!$AD$6:$AD$197, 0)), "")</f>
        <v>6.3189963380984064</v>
      </c>
      <c r="I78" s="837">
        <f>IF(ISNUMBER(INDEX(Database!$Q$6:$Q$197, MATCH($B78&amp;"USD bn", Database!$AD$6:$AD$197, 0))), INDEX(Database!$Q$6:$Q$197, MATCH($B78&amp;"USD bn", Database!$AD$6:$AD$197, 0)), "")</f>
        <v>3.2859281358385646</v>
      </c>
      <c r="J78" s="837"/>
      <c r="K78" s="837" t="str">
        <f>IF(ISNUMBER(INDEX(Database!$U$6:$U$197, MATCH($B78&amp;"USD bn", Database!$AD$6:$AD$197, 0))), INDEX(Database!$U$6:$U$197, MATCH($B78&amp;"USD bn", Database!$AD$6:$AD$197, 0)), "")</f>
        <v/>
      </c>
      <c r="L78" s="837">
        <f>IF(ISNUMBER(INDEX(Database!$W$6:$W$197, MATCH($B78&amp;"USD bn", Database!$AD$6:$AD$197, 0))), INDEX(Database!$W$6:$W$197, MATCH($B78&amp;"USD bn", Database!$AD$6:$AD$197, 0)), "")</f>
        <v>3.0330682022598419</v>
      </c>
      <c r="M78" s="817"/>
      <c r="N78" s="817"/>
      <c r="O78" s="835">
        <f>IF(ISNUMBER(INDEX(Database!$G$6:$G$197, MATCH($B78&amp;"% GDP", Database!$AD$6:$AD$197, 0))), INDEX(Database!$G$6:$G$197, MATCH($B78&amp;"% GDP", Database!$AD$6:$AD$197, 0)), "")</f>
        <v>12.682470249573225</v>
      </c>
      <c r="P78" s="836">
        <f>IF(ISNUMBER(INDEX(Database!$H$6:$H$197, MATCH($B78&amp;"% GDP", Database!$AD$6:$AD$197, 0))), INDEX(Database!$H$6:$H$197, MATCH($B78&amp;"% GDP", Database!$AD$6:$AD$197, 0)), "")</f>
        <v>0.59984389387573989</v>
      </c>
      <c r="Q78" s="836">
        <f>IF(ISNUMBER(INDEX(Database!$J$6:$J$197, MATCH($B78&amp;"% GDP", Database!$AD$6:$AD$197, 0))), INDEX(Database!$J$6:$J$197, MATCH($B78&amp;"% GDP", Database!$AD$6:$AD$197, 0)), "")</f>
        <v>12.082626355697483</v>
      </c>
      <c r="R78" s="836">
        <f>IF(ISNUMBER(INDEX(Database!$L$6:$L$197, MATCH($B78&amp;"% GDP", Database!$AD$6:$AD$197, 0))), INDEX(Database!$L$6:$L$197, MATCH($B78&amp;"% GDP", Database!$AD$6:$AD$197, 0)), "")</f>
        <v>1.5997887669146695</v>
      </c>
      <c r="S78" s="836"/>
      <c r="T78" s="835">
        <f>IF(ISNUMBER(INDEX(Database!$P$6:$P$197, MATCH($B78&amp;"% GDP", Database!$AD$6:$AD$197, 0))), INDEX(Database!$P$6:$P$197, MATCH($B78&amp;"% GDP", Database!$AD$6:$AD$197, 0)), "")</f>
        <v>2.4993918327164151</v>
      </c>
      <c r="U78" s="836">
        <f>IF(ISNUMBER(INDEX(Database!$Q$6:$Q$197, MATCH($B78&amp;"% GDP", Database!$AD$6:$AD$197, 0))), INDEX(Database!$Q$6:$Q$197, MATCH($B78&amp;"% GDP", Database!$AD$6:$AD$197, 0)), "")</f>
        <v>1.2997035456550827</v>
      </c>
      <c r="V78" s="836"/>
      <c r="W78" s="836" t="str">
        <f>IF(ISNUMBER(INDEX(Database!$U$6:$U$197, MATCH($B78&amp;"% GDP", Database!$AD$6:$AD$197, 0))), INDEX(Database!$U$6:$U$197, MATCH($B78&amp;"% GDP", Database!$AD$6:$AD$197, 0)), "")</f>
        <v/>
      </c>
      <c r="X78" s="836">
        <f>IF(ISNUMBER(INDEX(Database!$W$6:$W$197, MATCH($B78&amp;"% GDP", Database!$AD$6:$AD$197, 0))), INDEX(Database!$W$6:$W$197, MATCH($B78&amp;"% GDP", Database!$AD$6:$AD$197, 0)), "")</f>
        <v>1.1996882870613323</v>
      </c>
      <c r="AB78" s="562"/>
    </row>
    <row r="79" spans="2:28">
      <c r="B79" s="764" t="s">
        <v>34</v>
      </c>
      <c r="C79" s="840">
        <f>IF(ISNUMBER(INDEX(Database!$G$6:$G$197, MATCH($B79&amp;"USD bn", Database!$AD$6:$AD$197, 0))), INDEX(Database!$G$6:$G$197, MATCH($B79&amp;"USD bn", Database!$AD$6:$AD$197, 0)), "")</f>
        <v>12.537379304867349</v>
      </c>
      <c r="D79" s="837">
        <f>IF(ISNUMBER(INDEX(Database!$H$6:$H$197, MATCH($B79&amp;"USD bn", Database!$AD$6:$AD$197, 0))), INDEX(Database!$H$6:$H$197, MATCH($B79&amp;"USD bn", Database!$AD$6:$AD$197, 0)), "")</f>
        <v>3.8751505833461795</v>
      </c>
      <c r="E79" s="837">
        <f>IF(ISNUMBER(INDEX(Database!$J$6:$J$197, MATCH($B79&amp;"USD bn", Database!$AD$6:$AD$197, 0))), INDEX(Database!$J$6:$J$197, MATCH($B79&amp;"USD bn", Database!$AD$6:$AD$197, 0)), "")</f>
        <v>8.6622287215211689</v>
      </c>
      <c r="F79" s="833">
        <f>IF(ISNUMBER(INDEX(Database!$L$6:$L$197, MATCH($B79&amp;"USD bn", Database!$AD$6:$AD$197, 0))), INDEX(Database!$L$6:$L$197, MATCH($B79&amp;"USD bn", Database!$AD$6:$AD$197, 0)), "")</f>
        <v>0.4819569618750838</v>
      </c>
      <c r="G79" s="837"/>
      <c r="H79" s="840">
        <f>IF(ISNUMBER(INDEX(Database!$P$6:$P$197, MATCH($B79&amp;"USD bn", Database!$AD$6:$AD$197, 0))), INDEX(Database!$P$6:$P$197, MATCH($B79&amp;"USD bn", Database!$AD$6:$AD$197, 0)), "")</f>
        <v>14.618458635750434</v>
      </c>
      <c r="I79" s="837">
        <f>IF(ISNUMBER(INDEX(Database!$Q$6:$Q$197, MATCH($B79&amp;"USD bn", Database!$AD$6:$AD$197, 0))), INDEX(Database!$Q$6:$Q$197, MATCH($B79&amp;"USD bn", Database!$AD$6:$AD$197, 0)), "")</f>
        <v>7.6937118380227556</v>
      </c>
      <c r="J79" s="837"/>
      <c r="K79" s="837">
        <f>IF(ISNUMBER(INDEX(Database!$U$6:$U$197, MATCH($B79&amp;"USD bn", Database!$AD$6:$AD$197, 0))), INDEX(Database!$U$6:$U$197, MATCH($B79&amp;"USD bn", Database!$AD$6:$AD$197, 0)), "")</f>
        <v>6.9247467977276784</v>
      </c>
      <c r="L79" s="837" t="str">
        <f>IF(ISNUMBER(INDEX(Database!$W$6:$W$197, MATCH($B79&amp;"USD bn", Database!$AD$6:$AD$197, 0))), INDEX(Database!$W$6:$W$197, MATCH($B79&amp;"USD bn", Database!$AD$6:$AD$197, 0)), "")</f>
        <v/>
      </c>
      <c r="M79" s="817"/>
      <c r="N79" s="817"/>
      <c r="O79" s="835">
        <f>IF(ISNUMBER(INDEX(Database!$G$6:$G$197, MATCH($B79&amp;"% GDP", Database!$AD$6:$AD$197, 0))), INDEX(Database!$G$6:$G$197, MATCH($B79&amp;"% GDP", Database!$AD$6:$AD$197, 0)), "")</f>
        <v>4.6169047873067024</v>
      </c>
      <c r="P79" s="836">
        <f>IF(ISNUMBER(INDEX(Database!$H$6:$H$197, MATCH($B79&amp;"% GDP", Database!$AD$6:$AD$197, 0))), INDEX(Database!$H$6:$H$197, MATCH($B79&amp;"% GDP", Database!$AD$6:$AD$197, 0)), "")</f>
        <v>1.4270287948327041</v>
      </c>
      <c r="Q79" s="836">
        <f>IF(ISNUMBER(INDEX(Database!$J$6:$J$197, MATCH($B79&amp;"% GDP", Database!$AD$6:$AD$197, 0))), INDEX(Database!$J$6:$J$197, MATCH($B79&amp;"% GDP", Database!$AD$6:$AD$197, 0)), "")</f>
        <v>3.1898759924739983</v>
      </c>
      <c r="R79" s="836">
        <f>IF(ISNUMBER(INDEX(Database!$L$6:$L$197, MATCH($B79&amp;"% GDP", Database!$AD$6:$AD$197, 0))), INDEX(Database!$L$6:$L$197, MATCH($B79&amp;"% GDP", Database!$AD$6:$AD$197, 0)), "")</f>
        <v>0.17748122238696293</v>
      </c>
      <c r="S79" s="836"/>
      <c r="T79" s="835">
        <f>IF(ISNUMBER(INDEX(Database!$P$6:$P$197, MATCH($B79&amp;"% GDP", Database!$AD$6:$AD$197, 0))), INDEX(Database!$P$6:$P$197, MATCH($B79&amp;"% GDP", Database!$AD$6:$AD$197, 0)), "")</f>
        <v>5.3832647172315324</v>
      </c>
      <c r="U79" s="836">
        <f>IF(ISNUMBER(INDEX(Database!$Q$6:$Q$197, MATCH($B79&amp;"% GDP", Database!$AD$6:$AD$197, 0))), INDEX(Database!$Q$6:$Q$197, MATCH($B79&amp;"% GDP", Database!$AD$6:$AD$197, 0)), "")</f>
        <v>2.8332185023177257</v>
      </c>
      <c r="V79" s="836"/>
      <c r="W79" s="836">
        <f>IF(ISNUMBER(INDEX(Database!$U$6:$U$197, MATCH($B79&amp;"% GDP", Database!$AD$6:$AD$197, 0))), INDEX(Database!$U$6:$U$197, MATCH($B79&amp;"% GDP", Database!$AD$6:$AD$197, 0)), "")</f>
        <v>2.5500462149138068</v>
      </c>
      <c r="X79" s="836" t="str">
        <f>IF(ISNUMBER(INDEX(Database!$W$6:$W$197, MATCH($B79&amp;"% GDP", Database!$AD$6:$AD$197, 0))), INDEX(Database!$W$6:$W$197, MATCH($B79&amp;"% GDP", Database!$AD$6:$AD$197, 0)), "")</f>
        <v/>
      </c>
      <c r="AB79" s="562"/>
    </row>
    <row r="80" spans="2:28">
      <c r="B80" s="764" t="s">
        <v>1043</v>
      </c>
      <c r="C80" s="839">
        <v>0.85922642158120055</v>
      </c>
      <c r="D80" s="833">
        <v>0.19828302036489243</v>
      </c>
      <c r="E80" s="833">
        <v>0.66094340121630812</v>
      </c>
      <c r="F80" s="833">
        <v>0.41048063865012818</v>
      </c>
      <c r="G80" s="837"/>
      <c r="H80" s="839" t="s">
        <v>452</v>
      </c>
      <c r="I80" s="833" t="s">
        <v>452</v>
      </c>
      <c r="J80" s="837"/>
      <c r="K80" s="833" t="s">
        <v>452</v>
      </c>
      <c r="L80" s="833" t="s">
        <v>452</v>
      </c>
      <c r="M80" s="817"/>
      <c r="N80" s="817"/>
      <c r="O80" s="839">
        <v>1.429352585851031</v>
      </c>
      <c r="P80" s="833">
        <v>0.32985059673485329</v>
      </c>
      <c r="Q80" s="833">
        <v>1.0995019891161777</v>
      </c>
      <c r="R80" s="833">
        <v>0.68284860376688927</v>
      </c>
      <c r="S80" s="832"/>
      <c r="T80" s="839" t="s">
        <v>452</v>
      </c>
      <c r="U80" s="833" t="s">
        <v>452</v>
      </c>
      <c r="V80" s="837"/>
      <c r="W80" s="833" t="s">
        <v>452</v>
      </c>
      <c r="X80" s="833" t="s">
        <v>452</v>
      </c>
      <c r="AB80" s="717"/>
    </row>
    <row r="81" spans="2:28">
      <c r="B81" s="764" t="s">
        <v>1044</v>
      </c>
      <c r="C81" s="839">
        <v>2.8733343096446338</v>
      </c>
      <c r="D81" s="833">
        <v>7.5614060780121936E-2</v>
      </c>
      <c r="E81" s="833">
        <v>2.7977202488645121</v>
      </c>
      <c r="F81" s="833" t="s">
        <v>452</v>
      </c>
      <c r="G81" s="837"/>
      <c r="H81" s="839" t="s">
        <v>452</v>
      </c>
      <c r="I81" s="833" t="s">
        <v>452</v>
      </c>
      <c r="J81" s="837"/>
      <c r="K81" s="833" t="s">
        <v>452</v>
      </c>
      <c r="L81" s="833" t="s">
        <v>452</v>
      </c>
      <c r="M81" s="817"/>
      <c r="N81" s="817"/>
      <c r="O81" s="839">
        <v>5.134343921471558</v>
      </c>
      <c r="P81" s="833">
        <v>0.13511431372293575</v>
      </c>
      <c r="Q81" s="833">
        <v>4.9992296077486227</v>
      </c>
      <c r="R81" s="833" t="s">
        <v>452</v>
      </c>
      <c r="S81" s="832"/>
      <c r="T81" s="839" t="s">
        <v>452</v>
      </c>
      <c r="U81" s="833" t="s">
        <v>452</v>
      </c>
      <c r="V81" s="837"/>
      <c r="W81" s="833" t="s">
        <v>452</v>
      </c>
      <c r="X81" s="833" t="s">
        <v>452</v>
      </c>
      <c r="AB81" s="717"/>
    </row>
    <row r="82" spans="2:28">
      <c r="B82" s="764" t="s">
        <v>1045</v>
      </c>
      <c r="C82" s="839">
        <v>1.5555555555555555E-2</v>
      </c>
      <c r="D82" s="833">
        <v>1.6666666666666663E-3</v>
      </c>
      <c r="E82" s="833">
        <v>1.3999999999999999E-2</v>
      </c>
      <c r="F82" s="833" t="s">
        <v>452</v>
      </c>
      <c r="G82" s="837"/>
      <c r="H82" s="839" t="s">
        <v>452</v>
      </c>
      <c r="I82" s="833">
        <v>0</v>
      </c>
      <c r="J82" s="837"/>
      <c r="K82" s="833" t="s">
        <v>452</v>
      </c>
      <c r="L82" s="833" t="s">
        <v>452</v>
      </c>
      <c r="M82" s="817"/>
      <c r="N82" s="817"/>
      <c r="O82" s="839">
        <v>2.8526213552668223</v>
      </c>
      <c r="P82" s="833">
        <v>0.30563800235001665</v>
      </c>
      <c r="Q82" s="833">
        <v>2.56735921974014</v>
      </c>
      <c r="R82" s="833" t="s">
        <v>452</v>
      </c>
      <c r="S82" s="832"/>
      <c r="T82" s="839" t="s">
        <v>452</v>
      </c>
      <c r="U82" s="833">
        <v>0</v>
      </c>
      <c r="V82" s="837"/>
      <c r="W82" s="833" t="s">
        <v>452</v>
      </c>
      <c r="X82" s="833" t="s">
        <v>452</v>
      </c>
      <c r="AB82" s="717"/>
    </row>
    <row r="83" spans="2:28">
      <c r="B83" s="764" t="s">
        <v>1046</v>
      </c>
      <c r="C83" s="839">
        <v>0.68778700166240891</v>
      </c>
      <c r="D83" s="833">
        <v>0.21162676974227967</v>
      </c>
      <c r="E83" s="833">
        <v>0.4761602319201293</v>
      </c>
      <c r="F83" s="833" t="s">
        <v>452</v>
      </c>
      <c r="G83" s="837"/>
      <c r="H83" s="839" t="s">
        <v>452</v>
      </c>
      <c r="I83" s="833" t="s">
        <v>452</v>
      </c>
      <c r="J83" s="837"/>
      <c r="K83" s="833" t="s">
        <v>452</v>
      </c>
      <c r="L83" s="833" t="s">
        <v>452</v>
      </c>
      <c r="M83" s="817"/>
      <c r="N83" s="817"/>
      <c r="O83" s="839">
        <v>0.90555267104641524</v>
      </c>
      <c r="P83" s="833">
        <v>0.27863159109120467</v>
      </c>
      <c r="Q83" s="833">
        <v>0.62692107995521063</v>
      </c>
      <c r="R83" s="833" t="s">
        <v>452</v>
      </c>
      <c r="S83" s="832"/>
      <c r="T83" s="839" t="s">
        <v>452</v>
      </c>
      <c r="U83" s="833" t="s">
        <v>452</v>
      </c>
      <c r="V83" s="837"/>
      <c r="W83" s="833" t="s">
        <v>452</v>
      </c>
      <c r="X83" s="833" t="s">
        <v>452</v>
      </c>
      <c r="AB83" s="717"/>
    </row>
    <row r="84" spans="2:28">
      <c r="B84" s="764" t="s">
        <v>1047</v>
      </c>
      <c r="C84" s="839" t="s">
        <v>452</v>
      </c>
      <c r="D84" s="833" t="s">
        <v>452</v>
      </c>
      <c r="E84" s="833" t="s">
        <v>452</v>
      </c>
      <c r="F84" s="833" t="s">
        <v>452</v>
      </c>
      <c r="G84" s="837"/>
      <c r="H84" s="839" t="s">
        <v>452</v>
      </c>
      <c r="I84" s="833" t="s">
        <v>452</v>
      </c>
      <c r="J84" s="837"/>
      <c r="K84" s="833" t="s">
        <v>452</v>
      </c>
      <c r="L84" s="833" t="s">
        <v>452</v>
      </c>
      <c r="M84" s="817"/>
      <c r="N84" s="817"/>
      <c r="O84" s="839" t="s">
        <v>452</v>
      </c>
      <c r="P84" s="833" t="s">
        <v>452</v>
      </c>
      <c r="Q84" s="833" t="s">
        <v>452</v>
      </c>
      <c r="R84" s="833" t="s">
        <v>452</v>
      </c>
      <c r="S84" s="832"/>
      <c r="T84" s="839" t="s">
        <v>452</v>
      </c>
      <c r="U84" s="833" t="s">
        <v>452</v>
      </c>
      <c r="V84" s="837"/>
      <c r="W84" s="833" t="s">
        <v>452</v>
      </c>
      <c r="X84" s="833" t="s">
        <v>452</v>
      </c>
      <c r="AB84" s="717"/>
    </row>
    <row r="85" spans="2:28">
      <c r="B85" s="764" t="s">
        <v>23</v>
      </c>
      <c r="C85" s="840">
        <f>IF(ISNUMBER(INDEX(Database!$G$6:$G$197, MATCH($B85&amp;"USD bn", Database!$AD$6:$AD$197, 0))), INDEX(Database!$G$6:$G$197, MATCH($B85&amp;"USD bn", Database!$AD$6:$AD$197, 0)), "")</f>
        <v>5.6957877830164128</v>
      </c>
      <c r="D85" s="837">
        <f>IF(ISNUMBER(INDEX(Database!$H$6:$H$197, MATCH($B85&amp;"USD bn", Database!$AD$6:$AD$197, 0))), INDEX(Database!$H$6:$H$197, MATCH($B85&amp;"USD bn", Database!$AD$6:$AD$197, 0)), "")</f>
        <v>0.80458007357131589</v>
      </c>
      <c r="E85" s="837">
        <f>IF(ISNUMBER(INDEX(Database!$J$6:$J$197, MATCH($B85&amp;"USD bn", Database!$AD$6:$AD$197, 0))), INDEX(Database!$J$6:$J$197, MATCH($B85&amp;"USD bn", Database!$AD$6:$AD$197, 0)), "")</f>
        <v>4.891207709445097</v>
      </c>
      <c r="F85" s="833" t="str">
        <f>IF(ISNUMBER(INDEX(Database!$L$6:$L$197, MATCH($B85&amp;"USD bn", Database!$AD$6:$AD$197, 0))), INDEX(Database!$L$6:$L$197, MATCH($B85&amp;"USD bn", Database!$AD$6:$AD$197, 0)), "")</f>
        <v/>
      </c>
      <c r="G85" s="837"/>
      <c r="H85" s="840">
        <f>IF(ISNUMBER(INDEX(Database!$P$6:$P$197, MATCH($B85&amp;"USD bn", Database!$AD$6:$AD$197, 0))), INDEX(Database!$P$6:$P$197, MATCH($B85&amp;"USD bn", Database!$AD$6:$AD$197, 0)), "")</f>
        <v>0.46256670638826908</v>
      </c>
      <c r="I85" s="837">
        <f>IF(ISNUMBER(INDEX(Database!$Q$6:$Q$197, MATCH($B85&amp;"USD bn", Database!$AD$6:$AD$197, 0))), INDEX(Database!$Q$6:$Q$197, MATCH($B85&amp;"USD bn", Database!$AD$6:$AD$197, 0)), "")</f>
        <v>0.46256670638826908</v>
      </c>
      <c r="J85" s="837"/>
      <c r="K85" s="837" t="str">
        <f>IF(ISNUMBER(INDEX(Database!$U$6:$U$197, MATCH($B85&amp;"USD bn", Database!$AD$6:$AD$197, 0))), INDEX(Database!$U$6:$U$197, MATCH($B85&amp;"USD bn", Database!$AD$6:$AD$197, 0)), "")</f>
        <v/>
      </c>
      <c r="L85" s="837" t="str">
        <f>IF(ISNUMBER(INDEX(Database!$W$6:$W$197, MATCH($B85&amp;"USD bn", Database!$AD$6:$AD$197, 0))), INDEX(Database!$W$6:$W$197, MATCH($B85&amp;"USD bn", Database!$AD$6:$AD$197, 0)), "")</f>
        <v/>
      </c>
      <c r="M85" s="817"/>
      <c r="N85" s="817"/>
      <c r="O85" s="835">
        <f>IF(ISNUMBER(INDEX(Database!$G$6:$G$197, MATCH($B85&amp;"% GDP", Database!$AD$6:$AD$197, 0))), INDEX(Database!$G$6:$G$197, MATCH($B85&amp;"% GDP", Database!$AD$6:$AD$197, 0)), "")</f>
        <v>1.5680273855370135</v>
      </c>
      <c r="P85" s="836">
        <f>IF(ISNUMBER(INDEX(Database!$H$6:$H$197, MATCH($B85&amp;"% GDP", Database!$AD$6:$AD$197, 0))), INDEX(Database!$H$6:$H$197, MATCH($B85&amp;"% GDP", Database!$AD$6:$AD$197, 0)), "")</f>
        <v>0.22149764655541296</v>
      </c>
      <c r="Q85" s="836">
        <f>IF(ISNUMBER(INDEX(Database!$J$6:$J$197, MATCH($B85&amp;"% GDP", Database!$AD$6:$AD$197, 0))), INDEX(Database!$J$6:$J$197, MATCH($B85&amp;"% GDP", Database!$AD$6:$AD$197, 0)), "")</f>
        <v>1.3465297389816004</v>
      </c>
      <c r="R85" s="836" t="str">
        <f>IF(ISNUMBER(INDEX(Database!$L$6:$L$197, MATCH($B85&amp;"% GDP", Database!$AD$6:$AD$197, 0))), INDEX(Database!$L$6:$L$197, MATCH($B85&amp;"% GDP", Database!$AD$6:$AD$197, 0)), "")</f>
        <v/>
      </c>
      <c r="S85" s="836"/>
      <c r="T85" s="835">
        <f>IF(ISNUMBER(INDEX(Database!$P$6:$P$197, MATCH($B85&amp;"% GDP", Database!$AD$6:$AD$197, 0))), INDEX(Database!$P$6:$P$197, MATCH($B85&amp;"% GDP", Database!$AD$6:$AD$197, 0)), "")</f>
        <v>0.12734274711168164</v>
      </c>
      <c r="U85" s="836">
        <f>IF(ISNUMBER(INDEX(Database!$Q$6:$Q$197, MATCH($B85&amp;"% GDP", Database!$AD$6:$AD$197, 0))), INDEX(Database!$Q$6:$Q$197, MATCH($B85&amp;"% GDP", Database!$AD$6:$AD$197, 0)), "")</f>
        <v>0.12734274711168164</v>
      </c>
      <c r="V85" s="836"/>
      <c r="W85" s="836" t="str">
        <f>IF(ISNUMBER(INDEX(Database!$U$6:$U$197, MATCH($B85&amp;"% GDP", Database!$AD$6:$AD$197, 0))), INDEX(Database!$U$6:$U$197, MATCH($B85&amp;"% GDP", Database!$AD$6:$AD$197, 0)), "")</f>
        <v/>
      </c>
      <c r="X85" s="836" t="str">
        <f>IF(ISNUMBER(INDEX(Database!$W$6:$W$197, MATCH($B85&amp;"% GDP", Database!$AD$6:$AD$197, 0))), INDEX(Database!$W$6:$W$197, MATCH($B85&amp;"% GDP", Database!$AD$6:$AD$197, 0)), "")</f>
        <v/>
      </c>
      <c r="AB85" s="562"/>
    </row>
    <row r="86" spans="2:28">
      <c r="B86" s="764" t="s">
        <v>1048</v>
      </c>
      <c r="C86" s="839">
        <v>0.92</v>
      </c>
      <c r="D86" s="833">
        <v>0.47</v>
      </c>
      <c r="E86" s="833">
        <v>0.45000000000000007</v>
      </c>
      <c r="F86" s="833" t="s">
        <v>452</v>
      </c>
      <c r="G86" s="837"/>
      <c r="H86" s="839" t="s">
        <v>452</v>
      </c>
      <c r="I86" s="833" t="s">
        <v>452</v>
      </c>
      <c r="J86" s="837"/>
      <c r="K86" s="833" t="s">
        <v>452</v>
      </c>
      <c r="L86" s="833" t="s">
        <v>452</v>
      </c>
      <c r="M86" s="817"/>
      <c r="N86" s="817"/>
      <c r="O86" s="839">
        <v>3.7354184968340878</v>
      </c>
      <c r="P86" s="833">
        <v>1.9083116233826314</v>
      </c>
      <c r="Q86" s="833">
        <v>1.8271068734514562</v>
      </c>
      <c r="R86" s="833" t="s">
        <v>452</v>
      </c>
      <c r="S86" s="832"/>
      <c r="T86" s="839" t="s">
        <v>452</v>
      </c>
      <c r="U86" s="833" t="s">
        <v>452</v>
      </c>
      <c r="V86" s="837"/>
      <c r="W86" s="833" t="s">
        <v>452</v>
      </c>
      <c r="X86" s="833" t="s">
        <v>452</v>
      </c>
      <c r="AB86" s="717"/>
    </row>
    <row r="87" spans="2:28">
      <c r="B87" s="764" t="s">
        <v>1049</v>
      </c>
      <c r="C87" s="839">
        <v>0.17092062206835038</v>
      </c>
      <c r="D87" s="833">
        <v>9.913396079964322E-2</v>
      </c>
      <c r="E87" s="833">
        <v>7.1786661268707155E-2</v>
      </c>
      <c r="F87" s="833">
        <v>3.4184124413670074E-2</v>
      </c>
      <c r="G87" s="837"/>
      <c r="H87" s="839">
        <v>1.7092062206835038E-3</v>
      </c>
      <c r="I87" s="833" t="s">
        <v>452</v>
      </c>
      <c r="J87" s="837"/>
      <c r="K87" s="833">
        <v>1.7092062206835038E-3</v>
      </c>
      <c r="L87" s="833" t="s">
        <v>452</v>
      </c>
      <c r="M87" s="817"/>
      <c r="N87" s="817"/>
      <c r="O87" s="839">
        <v>1.7210598967171629</v>
      </c>
      <c r="P87" s="833">
        <v>0.99821474009595434</v>
      </c>
      <c r="Q87" s="833">
        <v>0.72284515662120841</v>
      </c>
      <c r="R87" s="833">
        <v>0.34421197934343251</v>
      </c>
      <c r="S87" s="832"/>
      <c r="T87" s="839">
        <v>1.7210598967171628E-2</v>
      </c>
      <c r="U87" s="833" t="s">
        <v>452</v>
      </c>
      <c r="V87" s="837"/>
      <c r="W87" s="833">
        <v>1.7210598967171628E-2</v>
      </c>
      <c r="X87" s="833" t="s">
        <v>452</v>
      </c>
      <c r="AB87" s="717"/>
    </row>
    <row r="88" spans="2:28">
      <c r="B88" s="764" t="s">
        <v>1050</v>
      </c>
      <c r="C88" s="839">
        <v>0.10914285714285714</v>
      </c>
      <c r="D88" s="833">
        <v>1.4285714285714285E-2</v>
      </c>
      <c r="E88" s="833">
        <v>9.4857142857142848E-2</v>
      </c>
      <c r="F88" s="833" t="s">
        <v>452</v>
      </c>
      <c r="G88" s="837"/>
      <c r="H88" s="839" t="s">
        <v>452</v>
      </c>
      <c r="I88" s="833" t="s">
        <v>452</v>
      </c>
      <c r="J88" s="837"/>
      <c r="K88" s="833" t="s">
        <v>452</v>
      </c>
      <c r="L88" s="833" t="s">
        <v>452</v>
      </c>
      <c r="M88" s="817"/>
      <c r="N88" s="817"/>
      <c r="O88" s="839">
        <v>2.8361922912854145</v>
      </c>
      <c r="P88" s="833">
        <v>0.37122935749809088</v>
      </c>
      <c r="Q88" s="833">
        <v>2.4649629337873233</v>
      </c>
      <c r="R88" s="833" t="s">
        <v>452</v>
      </c>
      <c r="S88" s="832"/>
      <c r="T88" s="839" t="s">
        <v>452</v>
      </c>
      <c r="U88" s="833" t="s">
        <v>452</v>
      </c>
      <c r="V88" s="837"/>
      <c r="W88" s="833" t="s">
        <v>452</v>
      </c>
      <c r="X88" s="833" t="s">
        <v>452</v>
      </c>
      <c r="AB88" s="717"/>
    </row>
    <row r="89" spans="2:28">
      <c r="B89" s="764" t="s">
        <v>1051</v>
      </c>
      <c r="C89" s="839">
        <v>0.22455520322080055</v>
      </c>
      <c r="D89" s="833">
        <v>1.727347717083081E-2</v>
      </c>
      <c r="E89" s="833">
        <v>0.20728172604996975</v>
      </c>
      <c r="F89" s="833" t="s">
        <v>452</v>
      </c>
      <c r="G89" s="837"/>
      <c r="H89" s="839" t="s">
        <v>452</v>
      </c>
      <c r="I89" s="833" t="s">
        <v>452</v>
      </c>
      <c r="J89" s="837"/>
      <c r="K89" s="833" t="s">
        <v>452</v>
      </c>
      <c r="L89" s="833" t="s">
        <v>452</v>
      </c>
      <c r="M89" s="817"/>
      <c r="N89" s="817"/>
      <c r="O89" s="839">
        <v>5.7103024003394331</v>
      </c>
      <c r="P89" s="833">
        <v>0.43925403079534103</v>
      </c>
      <c r="Q89" s="833">
        <v>5.2710483695440926</v>
      </c>
      <c r="R89" s="833" t="s">
        <v>452</v>
      </c>
      <c r="S89" s="832"/>
      <c r="T89" s="839" t="s">
        <v>452</v>
      </c>
      <c r="U89" s="833" t="s">
        <v>452</v>
      </c>
      <c r="V89" s="837"/>
      <c r="W89" s="833" t="s">
        <v>452</v>
      </c>
      <c r="X89" s="833" t="s">
        <v>452</v>
      </c>
      <c r="AB89" s="717"/>
    </row>
    <row r="90" spans="2:28">
      <c r="B90" s="764" t="s">
        <v>1052</v>
      </c>
      <c r="C90" s="839">
        <v>0.29757280302099798</v>
      </c>
      <c r="D90" s="833">
        <v>0.1129785311871796</v>
      </c>
      <c r="E90" s="833">
        <v>0.18459427183381841</v>
      </c>
      <c r="F90" s="833" t="s">
        <v>452</v>
      </c>
      <c r="G90" s="837"/>
      <c r="H90" s="839">
        <v>2.1365077758543797E-2</v>
      </c>
      <c r="I90" s="833">
        <v>4.2730155517087592E-3</v>
      </c>
      <c r="J90" s="837"/>
      <c r="K90" s="833">
        <v>1.7092062206835037E-2</v>
      </c>
      <c r="L90" s="833" t="s">
        <v>452</v>
      </c>
      <c r="M90" s="817"/>
      <c r="N90" s="817"/>
      <c r="O90" s="839">
        <v>1.9648064559073024</v>
      </c>
      <c r="P90" s="833">
        <v>0.74597189394297925</v>
      </c>
      <c r="Q90" s="833">
        <v>1.2188345619643233</v>
      </c>
      <c r="R90" s="833" t="s">
        <v>452</v>
      </c>
      <c r="S90" s="832"/>
      <c r="T90" s="839">
        <v>0.14106881504216703</v>
      </c>
      <c r="U90" s="833">
        <v>2.8213763008433406E-2</v>
      </c>
      <c r="V90" s="837"/>
      <c r="W90" s="833">
        <v>0.11285505203373362</v>
      </c>
      <c r="X90" s="833" t="s">
        <v>452</v>
      </c>
      <c r="AB90" s="717"/>
    </row>
    <row r="91" spans="2:28">
      <c r="B91" s="764" t="s">
        <v>549</v>
      </c>
      <c r="C91" s="840">
        <f>IF(ISNUMBER(INDEX(Database!$G$6:$G$197, MATCH($B91&amp;"USD bn", Database!$AD$6:$AD$197, 0))), INDEX(Database!$G$6:$G$197, MATCH($B91&amp;"USD bn", Database!$AD$6:$AD$197, 0)), "")</f>
        <v>1.1321361565263992</v>
      </c>
      <c r="D91" s="837">
        <f>IF(ISNUMBER(INDEX(Database!$H$6:$H$197, MATCH($B91&amp;"USD bn", Database!$AD$6:$AD$197, 0))), INDEX(Database!$H$6:$H$197, MATCH($B91&amp;"USD bn", Database!$AD$6:$AD$197, 0)), "")</f>
        <v>0.41490217099973153</v>
      </c>
      <c r="E91" s="837">
        <f>IF(ISNUMBER(INDEX(Database!$J$6:$J$197, MATCH($B91&amp;"USD bn", Database!$AD$6:$AD$197, 0))), INDEX(Database!$J$6:$J$197, MATCH($B91&amp;"USD bn", Database!$AD$6:$AD$197, 0)), "")</f>
        <v>0.71723398552666773</v>
      </c>
      <c r="F91" s="833" t="str">
        <f>IF(ISNUMBER(INDEX(Database!$L$6:$L$197, MATCH($B91&amp;"USD bn", Database!$AD$6:$AD$197, 0))), INDEX(Database!$L$6:$L$197, MATCH($B91&amp;"USD bn", Database!$AD$6:$AD$197, 0)), "")</f>
        <v/>
      </c>
      <c r="G91" s="837"/>
      <c r="H91" s="840">
        <f>IF(ISNUMBER(INDEX(Database!$P$6:$P$197, MATCH($B91&amp;"USD bn", Database!$AD$6:$AD$197, 0))), INDEX(Database!$P$6:$P$197, MATCH($B91&amp;"USD bn", Database!$AD$6:$AD$197, 0)), "")</f>
        <v>5.9361103903259175E-5</v>
      </c>
      <c r="I91" s="837">
        <f>IF(ISNUMBER(INDEX(Database!$Q$6:$Q$197, MATCH($B91&amp;"USD bn", Database!$AD$6:$AD$197, 0))), INDEX(Database!$Q$6:$Q$197, MATCH($B91&amp;"USD bn", Database!$AD$6:$AD$197, 0)), "")</f>
        <v>2.4881899839689477E-5</v>
      </c>
      <c r="J91" s="837"/>
      <c r="K91" s="837">
        <f>IF(ISNUMBER(INDEX(Database!$U$6:$U$197, MATCH($B91&amp;"USD bn", Database!$AD$6:$AD$197, 0))), INDEX(Database!$U$6:$U$197, MATCH($B91&amp;"USD bn", Database!$AD$6:$AD$197, 0)), "")</f>
        <v>3.4479204063569698E-5</v>
      </c>
      <c r="L91" s="837" t="str">
        <f>IF(ISNUMBER(INDEX(Database!$W$6:$W$197, MATCH($B91&amp;"USD bn", Database!$AD$6:$AD$197, 0))), INDEX(Database!$W$6:$W$197, MATCH($B91&amp;"USD bn", Database!$AD$6:$AD$197, 0)), "")</f>
        <v/>
      </c>
      <c r="M91" s="817"/>
      <c r="N91" s="817"/>
      <c r="O91" s="835">
        <f>IF(ISNUMBER(INDEX(Database!$G$6:$G$197, MATCH($B91&amp;"% GDP", Database!$AD$6:$AD$197, 0))), INDEX(Database!$G$6:$G$197, MATCH($B91&amp;"% GDP", Database!$AD$6:$AD$197, 0)), "")</f>
        <v>7.1244589204446775</v>
      </c>
      <c r="P91" s="836">
        <f>IF(ISNUMBER(INDEX(Database!$H$6:$H$197, MATCH($B91&amp;"% GDP", Database!$AD$6:$AD$197, 0))), INDEX(Database!$H$6:$H$197, MATCH($B91&amp;"% GDP", Database!$AD$6:$AD$197, 0)), "")</f>
        <v>2.6109522748220551</v>
      </c>
      <c r="Q91" s="836">
        <f>IF(ISNUMBER(INDEX(Database!$J$6:$J$197, MATCH($B91&amp;"% GDP", Database!$AD$6:$AD$197, 0))), INDEX(Database!$J$6:$J$197, MATCH($B91&amp;"% GDP", Database!$AD$6:$AD$197, 0)), "")</f>
        <v>4.5135066456226216</v>
      </c>
      <c r="R91" s="836" t="str">
        <f>IF(ISNUMBER(INDEX(Database!$L$6:$L$197, MATCH($B91&amp;"% GDP", Database!$AD$6:$AD$197, 0))), INDEX(Database!$L$6:$L$197, MATCH($B91&amp;"% GDP", Database!$AD$6:$AD$197, 0)), "")</f>
        <v/>
      </c>
      <c r="S91" s="836"/>
      <c r="T91" s="835">
        <f>IF(ISNUMBER(INDEX(Database!$P$6:$P$197, MATCH($B91&amp;"% GDP", Database!$AD$6:$AD$197, 0))), INDEX(Database!$P$6:$P$197, MATCH($B91&amp;"% GDP", Database!$AD$6:$AD$197, 0)), "")</f>
        <v>4.5185755271281601E-4</v>
      </c>
      <c r="U91" s="836">
        <f>IF(ISNUMBER(INDEX(Database!$Q$6:$Q$197, MATCH($B91&amp;"% GDP", Database!$AD$6:$AD$197, 0))), INDEX(Database!$Q$6:$Q$197, MATCH($B91&amp;"% GDP", Database!$AD$6:$AD$197, 0)), "")</f>
        <v>1.8940136940058156E-4</v>
      </c>
      <c r="V91" s="836"/>
      <c r="W91" s="836">
        <f>IF(ISNUMBER(INDEX(Database!$U$6:$U$197, MATCH($B91&amp;"% GDP", Database!$AD$6:$AD$197, 0))), INDEX(Database!$U$6:$U$197, MATCH($B91&amp;"% GDP", Database!$AD$6:$AD$197, 0)), "")</f>
        <v>2.6245618331223442E-4</v>
      </c>
      <c r="X91" s="836" t="str">
        <f>IF(ISNUMBER(INDEX(Database!$W$6:$W$197, MATCH($B91&amp;"% GDP", Database!$AD$6:$AD$197, 0))), INDEX(Database!$W$6:$W$197, MATCH($B91&amp;"% GDP", Database!$AD$6:$AD$197, 0)), "")</f>
        <v/>
      </c>
      <c r="AB91" s="562"/>
    </row>
    <row r="92" spans="2:28">
      <c r="B92" s="764" t="s">
        <v>1053</v>
      </c>
      <c r="C92" s="839">
        <v>4.4444447584113145E-2</v>
      </c>
      <c r="D92" s="833">
        <v>3.7037039653427624E-3</v>
      </c>
      <c r="E92" s="833">
        <v>4.0740743618770385E-2</v>
      </c>
      <c r="F92" s="833" t="s">
        <v>452</v>
      </c>
      <c r="G92" s="837"/>
      <c r="H92" s="839" t="s">
        <v>452</v>
      </c>
      <c r="I92" s="833" t="s">
        <v>452</v>
      </c>
      <c r="J92" s="837"/>
      <c r="K92" s="833" t="s">
        <v>452</v>
      </c>
      <c r="L92" s="833" t="s">
        <v>452</v>
      </c>
      <c r="M92" s="817"/>
      <c r="N92" s="817"/>
      <c r="O92" s="839">
        <v>4.1067747804304382</v>
      </c>
      <c r="P92" s="833">
        <v>0.3422312317025365</v>
      </c>
      <c r="Q92" s="833">
        <v>3.7645435487279015</v>
      </c>
      <c r="R92" s="833" t="s">
        <v>452</v>
      </c>
      <c r="S92" s="832"/>
      <c r="T92" s="839" t="s">
        <v>452</v>
      </c>
      <c r="U92" s="833" t="s">
        <v>452</v>
      </c>
      <c r="V92" s="837"/>
      <c r="W92" s="833" t="s">
        <v>452</v>
      </c>
      <c r="X92" s="833" t="s">
        <v>452</v>
      </c>
      <c r="AB92" s="717"/>
    </row>
    <row r="93" spans="2:28">
      <c r="B93" s="764" t="s">
        <v>1054</v>
      </c>
      <c r="C93" s="839">
        <v>2.5557380145811455</v>
      </c>
      <c r="D93" s="833">
        <v>0.15868539918903629</v>
      </c>
      <c r="E93" s="833">
        <v>2.3970526153921092</v>
      </c>
      <c r="F93" s="833" t="s">
        <v>452</v>
      </c>
      <c r="G93" s="837"/>
      <c r="H93" s="839" t="s">
        <v>452</v>
      </c>
      <c r="I93" s="833" t="s">
        <v>452</v>
      </c>
      <c r="J93" s="837"/>
      <c r="K93" s="833" t="s">
        <v>452</v>
      </c>
      <c r="L93" s="833" t="s">
        <v>452</v>
      </c>
      <c r="M93" s="817"/>
      <c r="N93" s="817"/>
      <c r="O93" s="839">
        <v>3.4665169767554169</v>
      </c>
      <c r="P93" s="833">
        <v>0.21523553162085626</v>
      </c>
      <c r="Q93" s="833">
        <v>3.2512814451345609</v>
      </c>
      <c r="R93" s="833" t="s">
        <v>452</v>
      </c>
      <c r="S93" s="832"/>
      <c r="T93" s="839" t="s">
        <v>452</v>
      </c>
      <c r="U93" s="833" t="s">
        <v>452</v>
      </c>
      <c r="V93" s="837"/>
      <c r="W93" s="833" t="s">
        <v>452</v>
      </c>
      <c r="X93" s="833" t="s">
        <v>452</v>
      </c>
      <c r="AB93" s="717"/>
    </row>
    <row r="94" spans="2:28">
      <c r="B94" s="764" t="s">
        <v>1055</v>
      </c>
      <c r="C94" s="839" t="s">
        <v>452</v>
      </c>
      <c r="D94" s="833" t="s">
        <v>452</v>
      </c>
      <c r="E94" s="833" t="s">
        <v>452</v>
      </c>
      <c r="F94" s="833" t="s">
        <v>452</v>
      </c>
      <c r="G94" s="837"/>
      <c r="H94" s="839" t="s">
        <v>452</v>
      </c>
      <c r="I94" s="833" t="s">
        <v>452</v>
      </c>
      <c r="J94" s="837"/>
      <c r="K94" s="833" t="s">
        <v>452</v>
      </c>
      <c r="L94" s="833" t="s">
        <v>452</v>
      </c>
      <c r="M94" s="817"/>
      <c r="N94" s="817"/>
      <c r="O94" s="839" t="s">
        <v>452</v>
      </c>
      <c r="P94" s="833" t="s">
        <v>452</v>
      </c>
      <c r="Q94" s="833" t="s">
        <v>452</v>
      </c>
      <c r="R94" s="833" t="s">
        <v>452</v>
      </c>
      <c r="S94" s="832"/>
      <c r="T94" s="839" t="s">
        <v>452</v>
      </c>
      <c r="U94" s="833" t="s">
        <v>452</v>
      </c>
      <c r="V94" s="837"/>
      <c r="W94" s="833" t="s">
        <v>452</v>
      </c>
      <c r="X94" s="833" t="s">
        <v>452</v>
      </c>
      <c r="AB94" s="717"/>
    </row>
    <row r="95" spans="2:28">
      <c r="B95" s="764" t="s">
        <v>40</v>
      </c>
      <c r="C95" s="839">
        <v>6.0700780864114599</v>
      </c>
      <c r="D95" s="833">
        <v>1.7353696496726863</v>
      </c>
      <c r="E95" s="833">
        <v>4.3347084367387732</v>
      </c>
      <c r="F95" s="833" t="s">
        <v>452</v>
      </c>
      <c r="G95" s="837"/>
      <c r="H95" s="839">
        <v>6.4995117965269147</v>
      </c>
      <c r="I95" s="833" t="s">
        <v>452</v>
      </c>
      <c r="J95" s="837"/>
      <c r="K95" s="833">
        <v>6.4995117965269147</v>
      </c>
      <c r="L95" s="833" t="s">
        <v>452</v>
      </c>
      <c r="M95" s="817"/>
      <c r="N95" s="817"/>
      <c r="O95" s="839">
        <v>4.0586387434554974</v>
      </c>
      <c r="P95" s="833">
        <v>1.1603209042970015</v>
      </c>
      <c r="Q95" s="833">
        <v>2.8983178391584956</v>
      </c>
      <c r="R95" s="833" t="s">
        <v>452</v>
      </c>
      <c r="S95" s="832"/>
      <c r="T95" s="839">
        <v>4.3457711771423284</v>
      </c>
      <c r="U95" s="833" t="s">
        <v>452</v>
      </c>
      <c r="V95" s="837"/>
      <c r="W95" s="833">
        <v>4.3457711771423284</v>
      </c>
      <c r="X95" s="833" t="s">
        <v>452</v>
      </c>
      <c r="AB95" s="717"/>
    </row>
    <row r="96" spans="2:28">
      <c r="B96" s="764" t="s">
        <v>28</v>
      </c>
      <c r="C96" s="839">
        <v>30.589630614544188</v>
      </c>
      <c r="D96" s="833">
        <v>11.448396408215547</v>
      </c>
      <c r="E96" s="833">
        <v>19.14123420632864</v>
      </c>
      <c r="F96" s="833">
        <v>34.345189224646646</v>
      </c>
      <c r="G96" s="837"/>
      <c r="H96" s="839" t="s">
        <v>452</v>
      </c>
      <c r="I96" s="833" t="s">
        <v>452</v>
      </c>
      <c r="J96" s="837"/>
      <c r="K96" s="833" t="s">
        <v>452</v>
      </c>
      <c r="L96" s="833" t="s">
        <v>452</v>
      </c>
      <c r="M96" s="817"/>
      <c r="N96" s="817"/>
      <c r="O96" s="839">
        <v>5.0276544209483394</v>
      </c>
      <c r="P96" s="833">
        <v>1.8816370011073984</v>
      </c>
      <c r="Q96" s="833">
        <v>3.1460174198409416</v>
      </c>
      <c r="R96" s="833">
        <v>5.6449110033221945</v>
      </c>
      <c r="S96" s="832"/>
      <c r="T96" s="839" t="s">
        <v>452</v>
      </c>
      <c r="U96" s="833" t="s">
        <v>452</v>
      </c>
      <c r="V96" s="837"/>
      <c r="W96" s="833" t="s">
        <v>452</v>
      </c>
      <c r="X96" s="833" t="s">
        <v>452</v>
      </c>
      <c r="AB96" s="717"/>
    </row>
    <row r="97" spans="2:28">
      <c r="B97" s="764" t="s">
        <v>1056</v>
      </c>
      <c r="C97" s="839">
        <v>0.33333333333333331</v>
      </c>
      <c r="D97" s="833">
        <v>7.952622673434856E-2</v>
      </c>
      <c r="E97" s="833">
        <v>0.25380710659898476</v>
      </c>
      <c r="F97" s="833">
        <v>0</v>
      </c>
      <c r="G97" s="837"/>
      <c r="H97" s="839" t="s">
        <v>452</v>
      </c>
      <c r="I97" s="833">
        <v>0</v>
      </c>
      <c r="J97" s="837"/>
      <c r="K97" s="833">
        <v>0</v>
      </c>
      <c r="L97" s="833">
        <v>0</v>
      </c>
      <c r="M97" s="817"/>
      <c r="N97" s="817"/>
      <c r="O97" s="839">
        <v>0.18815082582175055</v>
      </c>
      <c r="P97" s="833">
        <v>4.4888775703666381E-2</v>
      </c>
      <c r="Q97" s="833">
        <v>0.14326205011808418</v>
      </c>
      <c r="R97" s="833">
        <v>0</v>
      </c>
      <c r="S97" s="832"/>
      <c r="T97" s="839" t="s">
        <v>452</v>
      </c>
      <c r="U97" s="833">
        <v>0</v>
      </c>
      <c r="V97" s="837"/>
      <c r="W97" s="833">
        <v>0</v>
      </c>
      <c r="X97" s="833">
        <v>0</v>
      </c>
      <c r="AB97" s="717"/>
    </row>
    <row r="98" spans="2:28">
      <c r="B98" s="764" t="s">
        <v>1057</v>
      </c>
      <c r="C98" s="839">
        <v>0.12689087308761421</v>
      </c>
      <c r="D98" s="833">
        <v>5.6395943594495207E-2</v>
      </c>
      <c r="E98" s="833">
        <v>7.0494929493119002E-2</v>
      </c>
      <c r="F98" s="833" t="s">
        <v>452</v>
      </c>
      <c r="G98" s="837"/>
      <c r="H98" s="839" t="s">
        <v>452</v>
      </c>
      <c r="I98" s="833" t="s">
        <v>452</v>
      </c>
      <c r="J98" s="837"/>
      <c r="K98" s="833" t="s">
        <v>452</v>
      </c>
      <c r="L98" s="833" t="s">
        <v>452</v>
      </c>
      <c r="M98" s="817"/>
      <c r="N98" s="817"/>
      <c r="O98" s="839">
        <v>0.86197104782418632</v>
      </c>
      <c r="P98" s="833">
        <v>0.38309824347741622</v>
      </c>
      <c r="Q98" s="833">
        <v>0.4788728043467701</v>
      </c>
      <c r="R98" s="833" t="s">
        <v>452</v>
      </c>
      <c r="S98" s="832"/>
      <c r="T98" s="839" t="s">
        <v>452</v>
      </c>
      <c r="U98" s="833" t="s">
        <v>452</v>
      </c>
      <c r="V98" s="837"/>
      <c r="W98" s="833" t="s">
        <v>452</v>
      </c>
      <c r="X98" s="833" t="s">
        <v>452</v>
      </c>
      <c r="AB98" s="717"/>
    </row>
    <row r="99" spans="2:28">
      <c r="B99" s="764" t="s">
        <v>1058</v>
      </c>
      <c r="C99" s="839">
        <v>0.22567039999999988</v>
      </c>
      <c r="D99" s="833">
        <v>7.0521999999999974E-2</v>
      </c>
      <c r="E99" s="833">
        <v>0.15514839999999994</v>
      </c>
      <c r="F99" s="833" t="s">
        <v>452</v>
      </c>
      <c r="G99" s="837"/>
      <c r="H99" s="839">
        <v>0.70521999999999962</v>
      </c>
      <c r="I99" s="833" t="s">
        <v>452</v>
      </c>
      <c r="J99" s="837"/>
      <c r="K99" s="833" t="s">
        <v>452</v>
      </c>
      <c r="L99" s="833">
        <v>0.70521999999999962</v>
      </c>
      <c r="M99" s="817"/>
      <c r="N99" s="817"/>
      <c r="O99" s="839">
        <v>0.54079086977564328</v>
      </c>
      <c r="P99" s="833">
        <v>0.16899714680488853</v>
      </c>
      <c r="Q99" s="833">
        <v>0.3717937229707548</v>
      </c>
      <c r="R99" s="833" t="s">
        <v>452</v>
      </c>
      <c r="S99" s="832"/>
      <c r="T99" s="839">
        <v>1.6899714680488853</v>
      </c>
      <c r="U99" s="833" t="s">
        <v>452</v>
      </c>
      <c r="V99" s="837"/>
      <c r="W99" s="833" t="s">
        <v>452</v>
      </c>
      <c r="X99" s="833">
        <v>1.6899714680488853</v>
      </c>
      <c r="AB99" s="717"/>
    </row>
    <row r="100" spans="2:28">
      <c r="B100" s="764" t="s">
        <v>35</v>
      </c>
      <c r="C100" s="840">
        <f>IF(ISNUMBER(INDEX(Database!$G$6:$G$197, MATCH($B100&amp;"USD bn", Database!$AD$6:$AD$197, 0))), INDEX(Database!$G$6:$G$197, MATCH($B100&amp;"USD bn", Database!$AD$6:$AD$197, 0)), "")</f>
        <v>9.4151074374828561</v>
      </c>
      <c r="D100" s="837">
        <f>IF(ISNUMBER(INDEX(Database!$H$6:$H$197, MATCH($B100&amp;"USD bn", Database!$AD$6:$AD$197, 0))), INDEX(Database!$H$6:$H$197, MATCH($B100&amp;"USD bn", Database!$AD$6:$AD$197, 0)), "")</f>
        <v>1.203525822126795</v>
      </c>
      <c r="E100" s="837">
        <f>IF(ISNUMBER(INDEX(Database!$J$6:$J$197, MATCH($B100&amp;"USD bn", Database!$AD$6:$AD$197, 0))), INDEX(Database!$J$6:$J$197, MATCH($B100&amp;"USD bn", Database!$AD$6:$AD$197, 0)), "")</f>
        <v>8.2115816153560601</v>
      </c>
      <c r="F100" s="833">
        <f>IF(ISNUMBER(INDEX(Database!$L$6:$L$197, MATCH($B100&amp;"USD bn", Database!$AD$6:$AD$197, 0))), INDEX(Database!$L$6:$L$197, MATCH($B100&amp;"USD bn", Database!$AD$6:$AD$197, 0)), "")</f>
        <v>0.48431622620796583</v>
      </c>
      <c r="G100" s="837"/>
      <c r="H100" s="840">
        <f>IF(ISNUMBER(INDEX(Database!$P$6:$P$197, MATCH($B100&amp;"USD bn", Database!$AD$6:$AD$197, 0))), INDEX(Database!$P$6:$P$197, MATCH($B100&amp;"USD bn", Database!$AD$6:$AD$197, 0)), "")</f>
        <v>4.8843291413073349</v>
      </c>
      <c r="I100" s="837">
        <f>IF(ISNUMBER(INDEX(Database!$Q$6:$Q$197, MATCH($B100&amp;"USD bn", Database!$AD$6:$AD$197, 0))), INDEX(Database!$Q$6:$Q$197, MATCH($B100&amp;"USD bn", Database!$AD$6:$AD$197, 0)), "")</f>
        <v>0</v>
      </c>
      <c r="J100" s="837"/>
      <c r="K100" s="837" t="str">
        <f>IF(ISNUMBER(INDEX(Database!$U$6:$U$197, MATCH($B100&amp;"USD bn", Database!$AD$6:$AD$197, 0))), INDEX(Database!$U$6:$U$197, MATCH($B100&amp;"USD bn", Database!$AD$6:$AD$197, 0)), "")</f>
        <v/>
      </c>
      <c r="L100" s="837">
        <f>IF(ISNUMBER(INDEX(Database!$W$6:$W$197, MATCH($B100&amp;"USD bn", Database!$AD$6:$AD$197, 0))), INDEX(Database!$W$6:$W$197, MATCH($B100&amp;"USD bn", Database!$AD$6:$AD$197, 0)), "")</f>
        <v>4.8843291413073349</v>
      </c>
      <c r="M100" s="817"/>
      <c r="N100" s="817"/>
      <c r="O100" s="835">
        <f>IF(ISNUMBER(INDEX(Database!$G$6:$G$197, MATCH($B100&amp;"% GDP", Database!$AD$6:$AD$197, 0))), INDEX(Database!$G$6:$G$197, MATCH($B100&amp;"% GDP", Database!$AD$6:$AD$197, 0)), "")</f>
        <v>5.4981978129390923</v>
      </c>
      <c r="P100" s="836">
        <f>IF(ISNUMBER(INDEX(Database!$H$6:$H$197, MATCH($B100&amp;"% GDP", Database!$AD$6:$AD$197, 0))), INDEX(Database!$H$6:$H$197, MATCH($B100&amp;"% GDP", Database!$AD$6:$AD$197, 0)), "")</f>
        <v>0.70283032742559903</v>
      </c>
      <c r="Q100" s="836">
        <f>IF(ISNUMBER(INDEX(Database!$J$6:$J$197, MATCH($B100&amp;"% GDP", Database!$AD$6:$AD$197, 0))), INDEX(Database!$J$6:$J$197, MATCH($B100&amp;"% GDP", Database!$AD$6:$AD$197, 0)), "")</f>
        <v>4.7953674855134931</v>
      </c>
      <c r="R100" s="836">
        <f>IF(ISNUMBER(INDEX(Database!$L$6:$L$197, MATCH($B100&amp;"% GDP", Database!$AD$6:$AD$197, 0))), INDEX(Database!$L$6:$L$197, MATCH($B100&amp;"% GDP", Database!$AD$6:$AD$197, 0)), "")</f>
        <v>0.28282910560386276</v>
      </c>
      <c r="S100" s="836"/>
      <c r="T100" s="835">
        <f>IF(ISNUMBER(INDEX(Database!$P$6:$P$197, MATCH($B100&amp;"% GDP", Database!$AD$6:$AD$197, 0))), INDEX(Database!$P$6:$P$197, MATCH($B100&amp;"% GDP", Database!$AD$6:$AD$197, 0)), "")</f>
        <v>2.8523315300149559</v>
      </c>
      <c r="U100" s="836">
        <f>IF(ISNUMBER(INDEX(Database!$Q$6:$Q$197, MATCH($B100&amp;"% GDP", Database!$AD$6:$AD$197, 0))), INDEX(Database!$Q$6:$Q$197, MATCH($B100&amp;"% GDP", Database!$AD$6:$AD$197, 0)), "")</f>
        <v>0</v>
      </c>
      <c r="V100" s="836"/>
      <c r="W100" s="836" t="str">
        <f>IF(ISNUMBER(INDEX(Database!$U$6:$U$197, MATCH($B100&amp;"% GDP", Database!$AD$6:$AD$197, 0))), INDEX(Database!$U$6:$U$197, MATCH($B100&amp;"% GDP", Database!$AD$6:$AD$197, 0)), "")</f>
        <v/>
      </c>
      <c r="X100" s="836">
        <f>IF(ISNUMBER(INDEX(Database!$W$6:$W$197, MATCH($B100&amp;"% GDP", Database!$AD$6:$AD$197, 0))), INDEX(Database!$W$6:$W$197, MATCH($B100&amp;"% GDP", Database!$AD$6:$AD$197, 0)), "")</f>
        <v>2.8523315300149559</v>
      </c>
      <c r="AB100" s="562"/>
    </row>
    <row r="101" spans="2:28">
      <c r="B101" s="764" t="s">
        <v>970</v>
      </c>
      <c r="C101" s="839">
        <v>0</v>
      </c>
      <c r="D101" s="833">
        <v>0</v>
      </c>
      <c r="E101" s="833">
        <v>0</v>
      </c>
      <c r="F101" s="833" t="s">
        <v>452</v>
      </c>
      <c r="G101" s="837"/>
      <c r="H101" s="839" t="s">
        <v>452</v>
      </c>
      <c r="I101" s="833">
        <v>0</v>
      </c>
      <c r="J101" s="837"/>
      <c r="K101" s="833" t="s">
        <v>452</v>
      </c>
      <c r="L101" s="833" t="s">
        <v>452</v>
      </c>
      <c r="M101" s="817"/>
      <c r="N101" s="817"/>
      <c r="O101" s="839">
        <v>0</v>
      </c>
      <c r="P101" s="833">
        <v>0</v>
      </c>
      <c r="Q101" s="833">
        <v>0</v>
      </c>
      <c r="R101" s="833" t="s">
        <v>452</v>
      </c>
      <c r="S101" s="832"/>
      <c r="T101" s="839" t="s">
        <v>452</v>
      </c>
      <c r="U101" s="833">
        <v>0</v>
      </c>
      <c r="V101" s="837"/>
      <c r="W101" s="833" t="s">
        <v>452</v>
      </c>
      <c r="X101" s="833" t="s">
        <v>452</v>
      </c>
      <c r="AB101" s="717"/>
    </row>
    <row r="102" spans="2:28">
      <c r="B102" s="764" t="s">
        <v>1059</v>
      </c>
      <c r="C102" s="839">
        <v>1.6561775422325273</v>
      </c>
      <c r="D102" s="833" t="s">
        <v>452</v>
      </c>
      <c r="E102" s="833" t="s">
        <v>452</v>
      </c>
      <c r="F102" s="833" t="s">
        <v>452</v>
      </c>
      <c r="G102" s="837"/>
      <c r="H102" s="839" t="s">
        <v>452</v>
      </c>
      <c r="I102" s="833" t="s">
        <v>452</v>
      </c>
      <c r="J102" s="837"/>
      <c r="K102" s="833" t="s">
        <v>452</v>
      </c>
      <c r="L102" s="833" t="s">
        <v>452</v>
      </c>
      <c r="M102" s="817"/>
      <c r="N102" s="817"/>
      <c r="O102" s="839">
        <v>1.5198909617927794</v>
      </c>
      <c r="P102" s="833" t="s">
        <v>452</v>
      </c>
      <c r="Q102" s="833" t="s">
        <v>452</v>
      </c>
      <c r="R102" s="833" t="s">
        <v>452</v>
      </c>
      <c r="S102" s="832"/>
      <c r="T102" s="839" t="s">
        <v>452</v>
      </c>
      <c r="U102" s="833" t="s">
        <v>452</v>
      </c>
      <c r="V102" s="837"/>
      <c r="W102" s="833" t="s">
        <v>452</v>
      </c>
      <c r="X102" s="833" t="s">
        <v>452</v>
      </c>
      <c r="AB102" s="717"/>
    </row>
    <row r="103" spans="2:28">
      <c r="B103" s="764" t="s">
        <v>1060</v>
      </c>
      <c r="C103" s="839" t="s">
        <v>452</v>
      </c>
      <c r="D103" s="833" t="s">
        <v>452</v>
      </c>
      <c r="E103" s="833" t="s">
        <v>452</v>
      </c>
      <c r="F103" s="833" t="s">
        <v>452</v>
      </c>
      <c r="G103" s="837"/>
      <c r="H103" s="839" t="s">
        <v>452</v>
      </c>
      <c r="I103" s="833" t="s">
        <v>452</v>
      </c>
      <c r="J103" s="837"/>
      <c r="K103" s="833" t="s">
        <v>452</v>
      </c>
      <c r="L103" s="833" t="s">
        <v>452</v>
      </c>
      <c r="M103" s="817"/>
      <c r="N103" s="817"/>
      <c r="O103" s="839" t="s">
        <v>452</v>
      </c>
      <c r="P103" s="833" t="s">
        <v>452</v>
      </c>
      <c r="Q103" s="833" t="s">
        <v>452</v>
      </c>
      <c r="R103" s="833" t="s">
        <v>452</v>
      </c>
      <c r="S103" s="832"/>
      <c r="T103" s="839" t="s">
        <v>452</v>
      </c>
      <c r="U103" s="833" t="s">
        <v>452</v>
      </c>
      <c r="V103" s="837"/>
      <c r="W103" s="833" t="s">
        <v>452</v>
      </c>
      <c r="X103" s="833" t="s">
        <v>452</v>
      </c>
      <c r="AB103" s="717"/>
    </row>
    <row r="104" spans="2:28">
      <c r="B104" s="764" t="s">
        <v>1061</v>
      </c>
      <c r="C104" s="839">
        <v>0.36090251971399612</v>
      </c>
      <c r="D104" s="833" t="s">
        <v>452</v>
      </c>
      <c r="E104" s="833" t="s">
        <v>452</v>
      </c>
      <c r="F104" s="833" t="s">
        <v>452</v>
      </c>
      <c r="G104" s="837"/>
      <c r="H104" s="839" t="s">
        <v>452</v>
      </c>
      <c r="I104" s="833" t="s">
        <v>452</v>
      </c>
      <c r="J104" s="837"/>
      <c r="K104" s="833" t="s">
        <v>452</v>
      </c>
      <c r="L104" s="833" t="s">
        <v>452</v>
      </c>
      <c r="M104" s="817"/>
      <c r="N104" s="817"/>
      <c r="O104" s="839">
        <v>1.6551601659142039</v>
      </c>
      <c r="P104" s="833" t="s">
        <v>452</v>
      </c>
      <c r="Q104" s="833" t="s">
        <v>452</v>
      </c>
      <c r="R104" s="833" t="s">
        <v>452</v>
      </c>
      <c r="S104" s="832"/>
      <c r="T104" s="839" t="s">
        <v>452</v>
      </c>
      <c r="U104" s="833" t="s">
        <v>452</v>
      </c>
      <c r="V104" s="837"/>
      <c r="W104" s="833" t="s">
        <v>452</v>
      </c>
      <c r="X104" s="833" t="s">
        <v>452</v>
      </c>
      <c r="AB104" s="717"/>
    </row>
    <row r="105" spans="2:28">
      <c r="B105" s="764" t="s">
        <v>24</v>
      </c>
      <c r="C105" s="839">
        <v>14.623605992206191</v>
      </c>
      <c r="D105" s="833">
        <v>0.37616992905996632</v>
      </c>
      <c r="E105" s="833">
        <v>14.247436063146225</v>
      </c>
      <c r="F105" s="833">
        <v>3.8087205317321589</v>
      </c>
      <c r="G105" s="837"/>
      <c r="H105" s="839">
        <v>11.755310283123947</v>
      </c>
      <c r="I105" s="833">
        <v>0</v>
      </c>
      <c r="J105" s="837"/>
      <c r="K105" s="833">
        <v>11.755310283123947</v>
      </c>
      <c r="L105" s="833" t="s">
        <v>452</v>
      </c>
      <c r="M105" s="817"/>
      <c r="N105" s="817"/>
      <c r="O105" s="839">
        <v>4.3058821322447409</v>
      </c>
      <c r="P105" s="833">
        <v>0.11076224134391617</v>
      </c>
      <c r="Q105" s="833">
        <v>4.1951198909008243</v>
      </c>
      <c r="R105" s="833">
        <v>1.1214676936071513</v>
      </c>
      <c r="S105" s="832"/>
      <c r="T105" s="839">
        <v>3.4613200419973804</v>
      </c>
      <c r="U105" s="833">
        <v>0</v>
      </c>
      <c r="V105" s="837"/>
      <c r="W105" s="833">
        <v>3.4613200419973804</v>
      </c>
      <c r="X105" s="833" t="s">
        <v>452</v>
      </c>
      <c r="AB105" s="717"/>
    </row>
    <row r="106" spans="2:28">
      <c r="B106" s="764" t="s">
        <v>1062</v>
      </c>
      <c r="C106" s="839">
        <v>0.16223231667748214</v>
      </c>
      <c r="D106" s="833" t="s">
        <v>452</v>
      </c>
      <c r="E106" s="833">
        <v>0.16223231667748214</v>
      </c>
      <c r="F106" s="833" t="s">
        <v>452</v>
      </c>
      <c r="G106" s="837"/>
      <c r="H106" s="839" t="s">
        <v>452</v>
      </c>
      <c r="I106" s="833" t="s">
        <v>452</v>
      </c>
      <c r="J106" s="837"/>
      <c r="K106" s="833" t="s">
        <v>452</v>
      </c>
      <c r="L106" s="833" t="s">
        <v>452</v>
      </c>
      <c r="M106" s="817"/>
      <c r="N106" s="817"/>
      <c r="O106" s="839">
        <v>3.1537499748216193</v>
      </c>
      <c r="P106" s="833" t="s">
        <v>452</v>
      </c>
      <c r="Q106" s="833">
        <v>3.1537499748216193</v>
      </c>
      <c r="R106" s="833" t="s">
        <v>452</v>
      </c>
      <c r="S106" s="832"/>
      <c r="T106" s="839" t="s">
        <v>452</v>
      </c>
      <c r="U106" s="833" t="s">
        <v>452</v>
      </c>
      <c r="V106" s="837"/>
      <c r="W106" s="833" t="s">
        <v>452</v>
      </c>
      <c r="X106" s="833" t="s">
        <v>452</v>
      </c>
      <c r="AB106" s="717"/>
    </row>
    <row r="107" spans="2:28">
      <c r="B107" s="764" t="s">
        <v>92</v>
      </c>
      <c r="C107" s="840">
        <f>IF(ISNUMBER(INDEX(Database!$G$6:$G$197, MATCH($B107&amp;"USD bn", Database!$AD$6:$AD$197, 0))), INDEX(Database!$G$6:$G$197, MATCH($B107&amp;"USD bn", Database!$AD$6:$AD$197, 0)), "")</f>
        <v>0.99880719208951563</v>
      </c>
      <c r="D107" s="837">
        <f>IF(ISNUMBER(INDEX(Database!$H$6:$H$197, MATCH($B107&amp;"USD bn", Database!$AD$6:$AD$197, 0))), INDEX(Database!$H$6:$H$197, MATCH($B107&amp;"USD bn", Database!$AD$6:$AD$197, 0)), "")</f>
        <v>3.3039423656905105E-2</v>
      </c>
      <c r="E107" s="837">
        <f>IF(ISNUMBER(INDEX(Database!$J$6:$J$197, MATCH($B107&amp;"USD bn", Database!$AD$6:$AD$197, 0))), INDEX(Database!$J$6:$J$197, MATCH($B107&amp;"USD bn", Database!$AD$6:$AD$197, 0)), "")</f>
        <v>0.96576776843261058</v>
      </c>
      <c r="F107" s="833" t="str">
        <f>IF(ISNUMBER(INDEX(Database!$L$6:$L$197, MATCH($B107&amp;"USD bn", Database!$AD$6:$AD$197, 0))), INDEX(Database!$L$6:$L$197, MATCH($B107&amp;"USD bn", Database!$AD$6:$AD$197, 0)), "")</f>
        <v/>
      </c>
      <c r="G107" s="837"/>
      <c r="H107" s="840">
        <f>IF(ISNUMBER(INDEX(Database!$P$6:$P$197, MATCH($B107&amp;"USD bn", Database!$AD$6:$AD$197, 0))), INDEX(Database!$P$6:$P$197, MATCH($B107&amp;"USD bn", Database!$AD$6:$AD$197, 0)), "")</f>
        <v>4.0460586509071472</v>
      </c>
      <c r="I107" s="837">
        <f>IF(ISNUMBER(INDEX(Database!$Q$6:$Q$197, MATCH($B107&amp;"USD bn", Database!$AD$6:$AD$197, 0))), INDEX(Database!$Q$6:$Q$197, MATCH($B107&amp;"USD bn", Database!$AD$6:$AD$197, 0)), "")</f>
        <v>0.36089216609850183</v>
      </c>
      <c r="J107" s="837"/>
      <c r="K107" s="837" t="str">
        <f>IF(ISNUMBER(INDEX(Database!$U$6:$U$197, MATCH($B107&amp;"USD bn", Database!$AD$6:$AD$197, 0))), INDEX(Database!$U$6:$U$197, MATCH($B107&amp;"USD bn", Database!$AD$6:$AD$197, 0)), "")</f>
        <v/>
      </c>
      <c r="L107" s="837">
        <f>IF(ISNUMBER(INDEX(Database!$W$6:$W$197, MATCH($B107&amp;"USD bn", Database!$AD$6:$AD$197, 0))), INDEX(Database!$W$6:$W$197, MATCH($B107&amp;"USD bn", Database!$AD$6:$AD$197, 0)), "")</f>
        <v>3.6851664848086458</v>
      </c>
      <c r="M107" s="817"/>
      <c r="N107" s="817"/>
      <c r="O107" s="835">
        <f>IF(ISNUMBER(INDEX(Database!$G$6:$G$197, MATCH($B107&amp;"% GDP", Database!$AD$6:$AD$197, 0))), INDEX(Database!$G$6:$G$197, MATCH($B107&amp;"% GDP", Database!$AD$6:$AD$197, 0)), "")</f>
        <v>9.1999999999999993</v>
      </c>
      <c r="P107" s="836">
        <f>IF(ISNUMBER(INDEX(Database!$H$6:$H$197, MATCH($B107&amp;"% GDP", Database!$AD$6:$AD$197, 0))), INDEX(Database!$H$6:$H$197, MATCH($B107&amp;"% GDP", Database!$AD$6:$AD$197, 0)), "")</f>
        <v>0.30432569974554707</v>
      </c>
      <c r="Q107" s="836">
        <f>IF(ISNUMBER(INDEX(Database!$J$6:$J$197, MATCH($B107&amp;"% GDP", Database!$AD$6:$AD$197, 0))), INDEX(Database!$J$6:$J$197, MATCH($B107&amp;"% GDP", Database!$AD$6:$AD$197, 0)), "")</f>
        <v>8.895674300254452</v>
      </c>
      <c r="R107" s="836" t="str">
        <f>IF(ISNUMBER(INDEX(Database!$L$6:$L$197, MATCH($B107&amp;"% GDP", Database!$AD$6:$AD$197, 0))), INDEX(Database!$L$6:$L$197, MATCH($B107&amp;"% GDP", Database!$AD$6:$AD$197, 0)), "")</f>
        <v/>
      </c>
      <c r="S107" s="836"/>
      <c r="T107" s="835">
        <f>IF(ISNUMBER(INDEX(Database!$P$6:$P$197, MATCH($B107&amp;"% GDP", Database!$AD$6:$AD$197, 0))), INDEX(Database!$P$6:$P$197, MATCH($B107&amp;"% GDP", Database!$AD$6:$AD$197, 0)), "")</f>
        <v>37.268193384223913</v>
      </c>
      <c r="U107" s="836">
        <f>IF(ISNUMBER(INDEX(Database!$Q$6:$Q$197, MATCH($B107&amp;"% GDP", Database!$AD$6:$AD$197, 0))), INDEX(Database!$Q$6:$Q$197, MATCH($B107&amp;"% GDP", Database!$AD$6:$AD$197, 0)), "")</f>
        <v>3.3241730279898221</v>
      </c>
      <c r="V107" s="836"/>
      <c r="W107" s="836" t="str">
        <f>IF(ISNUMBER(INDEX(Database!$U$6:$U$197, MATCH($B107&amp;"% GDP", Database!$AD$6:$AD$197, 0))), INDEX(Database!$U$6:$U$197, MATCH($B107&amp;"% GDP", Database!$AD$6:$AD$197, 0)), "")</f>
        <v/>
      </c>
      <c r="X107" s="836">
        <f>IF(ISNUMBER(INDEX(Database!$W$6:$W$197, MATCH($B107&amp;"% GDP", Database!$AD$6:$AD$197, 0))), INDEX(Database!$W$6:$W$197, MATCH($B107&amp;"% GDP", Database!$AD$6:$AD$197, 0)), "")</f>
        <v>33.944020356234091</v>
      </c>
      <c r="AB107" s="562"/>
    </row>
    <row r="108" spans="2:28">
      <c r="B108" s="764" t="s">
        <v>1063</v>
      </c>
      <c r="C108" s="839">
        <v>7.0000000000000007E-2</v>
      </c>
      <c r="D108" s="833">
        <v>0.02</v>
      </c>
      <c r="E108" s="833">
        <v>0.05</v>
      </c>
      <c r="F108" s="833" t="s">
        <v>452</v>
      </c>
      <c r="G108" s="837"/>
      <c r="H108" s="839" t="s">
        <v>452</v>
      </c>
      <c r="I108" s="833" t="s">
        <v>452</v>
      </c>
      <c r="J108" s="837"/>
      <c r="K108" s="833" t="s">
        <v>452</v>
      </c>
      <c r="L108" s="833" t="s">
        <v>452</v>
      </c>
      <c r="M108" s="817"/>
      <c r="N108" s="817"/>
      <c r="O108" s="839">
        <v>17.708360881034029</v>
      </c>
      <c r="P108" s="833">
        <v>5.0595316802954367</v>
      </c>
      <c r="Q108" s="833">
        <v>12.648829200738593</v>
      </c>
      <c r="R108" s="833" t="s">
        <v>452</v>
      </c>
      <c r="S108" s="832"/>
      <c r="T108" s="839" t="s">
        <v>452</v>
      </c>
      <c r="U108" s="833" t="s">
        <v>452</v>
      </c>
      <c r="V108" s="837"/>
      <c r="W108" s="833" t="s">
        <v>452</v>
      </c>
      <c r="X108" s="833" t="s">
        <v>452</v>
      </c>
      <c r="AB108" s="717"/>
    </row>
    <row r="109" spans="2:28">
      <c r="B109" s="764" t="s">
        <v>25</v>
      </c>
      <c r="C109" s="839">
        <v>1.0157968531683483</v>
      </c>
      <c r="D109" s="833">
        <v>0.14694990136871694</v>
      </c>
      <c r="E109" s="833">
        <v>0.86884695179963134</v>
      </c>
      <c r="F109" s="833" t="s">
        <v>452</v>
      </c>
      <c r="G109" s="837"/>
      <c r="H109" s="839">
        <v>0.31451946180599999</v>
      </c>
      <c r="I109" s="833">
        <v>3.5875420338890365E-2</v>
      </c>
      <c r="J109" s="837"/>
      <c r="K109" s="833">
        <v>0</v>
      </c>
      <c r="L109" s="833">
        <v>0.27864404146710964</v>
      </c>
      <c r="M109" s="817"/>
      <c r="N109" s="817"/>
      <c r="O109" s="839">
        <v>7.5154013064619249</v>
      </c>
      <c r="P109" s="833">
        <v>1.0872129375930206</v>
      </c>
      <c r="Q109" s="833">
        <v>6.4281883688689039</v>
      </c>
      <c r="R109" s="833" t="s">
        <v>452</v>
      </c>
      <c r="S109" s="832"/>
      <c r="T109" s="839">
        <v>2.3269809970289117</v>
      </c>
      <c r="U109" s="833">
        <v>0.2654252964495879</v>
      </c>
      <c r="V109" s="837"/>
      <c r="W109" s="833">
        <v>0</v>
      </c>
      <c r="X109" s="833">
        <v>2.0615557005793237</v>
      </c>
      <c r="AB109" s="717"/>
    </row>
    <row r="110" spans="2:28">
      <c r="B110" s="764" t="s">
        <v>1064</v>
      </c>
      <c r="C110" s="839">
        <v>0.39240802471531144</v>
      </c>
      <c r="D110" s="833">
        <v>2.2423315698017799E-2</v>
      </c>
      <c r="E110" s="833">
        <v>0.36998470901729363</v>
      </c>
      <c r="F110" s="833">
        <v>0.11211657849008899</v>
      </c>
      <c r="G110" s="837"/>
      <c r="H110" s="839" t="s">
        <v>452</v>
      </c>
      <c r="I110" s="833" t="s">
        <v>452</v>
      </c>
      <c r="J110" s="837"/>
      <c r="K110" s="833">
        <v>0</v>
      </c>
      <c r="L110" s="833" t="s">
        <v>452</v>
      </c>
      <c r="M110" s="817"/>
      <c r="N110" s="817"/>
      <c r="O110" s="839">
        <v>7.8054087887058632</v>
      </c>
      <c r="P110" s="833">
        <v>0.44602335935462079</v>
      </c>
      <c r="Q110" s="833">
        <v>7.3593854293512413</v>
      </c>
      <c r="R110" s="833">
        <v>2.2301167967731037</v>
      </c>
      <c r="S110" s="832"/>
      <c r="T110" s="839" t="s">
        <v>452</v>
      </c>
      <c r="U110" s="833" t="s">
        <v>452</v>
      </c>
      <c r="V110" s="837"/>
      <c r="W110" s="833">
        <v>0</v>
      </c>
      <c r="X110" s="833" t="s">
        <v>452</v>
      </c>
      <c r="AB110" s="717"/>
    </row>
    <row r="111" spans="2:28">
      <c r="B111" s="764" t="s">
        <v>1065</v>
      </c>
      <c r="C111" s="839" t="s">
        <v>452</v>
      </c>
      <c r="D111" s="833" t="s">
        <v>452</v>
      </c>
      <c r="E111" s="833" t="s">
        <v>452</v>
      </c>
      <c r="F111" s="833" t="s">
        <v>452</v>
      </c>
      <c r="G111" s="837"/>
      <c r="H111" s="839" t="s">
        <v>452</v>
      </c>
      <c r="I111" s="833" t="s">
        <v>452</v>
      </c>
      <c r="J111" s="837"/>
      <c r="K111" s="833" t="s">
        <v>452</v>
      </c>
      <c r="L111" s="833" t="s">
        <v>452</v>
      </c>
      <c r="M111" s="817"/>
      <c r="N111" s="817"/>
      <c r="O111" s="839" t="s">
        <v>452</v>
      </c>
      <c r="P111" s="833" t="s">
        <v>452</v>
      </c>
      <c r="Q111" s="833" t="s">
        <v>452</v>
      </c>
      <c r="R111" s="833" t="s">
        <v>452</v>
      </c>
      <c r="S111" s="832"/>
      <c r="T111" s="839" t="s">
        <v>452</v>
      </c>
      <c r="U111" s="833" t="s">
        <v>452</v>
      </c>
      <c r="V111" s="837"/>
      <c r="W111" s="833" t="s">
        <v>452</v>
      </c>
      <c r="X111" s="833" t="s">
        <v>452</v>
      </c>
      <c r="AB111" s="717"/>
    </row>
    <row r="112" spans="2:28">
      <c r="B112" s="764" t="s">
        <v>1066</v>
      </c>
      <c r="C112" s="839">
        <v>3.0744892490249986</v>
      </c>
      <c r="D112" s="833">
        <v>1.0248297496749996</v>
      </c>
      <c r="E112" s="833">
        <v>2.0496594993499988</v>
      </c>
      <c r="F112" s="833" t="s">
        <v>452</v>
      </c>
      <c r="G112" s="837"/>
      <c r="H112" s="839">
        <v>0.51241487483749981</v>
      </c>
      <c r="I112" s="833">
        <v>0.51241487483749981</v>
      </c>
      <c r="J112" s="837"/>
      <c r="K112" s="833" t="s">
        <v>452</v>
      </c>
      <c r="L112" s="833" t="s">
        <v>452</v>
      </c>
      <c r="M112" s="817"/>
      <c r="N112" s="817"/>
      <c r="O112" s="839">
        <v>2.8247810189042313</v>
      </c>
      <c r="P112" s="833">
        <v>0.94159367296807706</v>
      </c>
      <c r="Q112" s="833">
        <v>1.8831873459361543</v>
      </c>
      <c r="R112" s="833" t="s">
        <v>452</v>
      </c>
      <c r="S112" s="832"/>
      <c r="T112" s="839">
        <v>0.47079683648403853</v>
      </c>
      <c r="U112" s="833">
        <v>0.47079683648403853</v>
      </c>
      <c r="V112" s="837"/>
      <c r="W112" s="833" t="s">
        <v>452</v>
      </c>
      <c r="X112" s="833" t="s">
        <v>452</v>
      </c>
      <c r="AB112" s="717"/>
    </row>
    <row r="113" spans="2:28">
      <c r="B113" s="764" t="s">
        <v>1067</v>
      </c>
      <c r="C113" s="839">
        <v>0.11695906432748537</v>
      </c>
      <c r="D113" s="833">
        <v>5.8479532163742687E-2</v>
      </c>
      <c r="E113" s="833">
        <v>5.8479532163742687E-2</v>
      </c>
      <c r="F113" s="833" t="s">
        <v>452</v>
      </c>
      <c r="G113" s="837"/>
      <c r="H113" s="839">
        <v>0.12865497076023391</v>
      </c>
      <c r="I113" s="833" t="s">
        <v>452</v>
      </c>
      <c r="J113" s="837"/>
      <c r="K113" s="833">
        <v>0.12865497076023391</v>
      </c>
      <c r="L113" s="833" t="s">
        <v>452</v>
      </c>
      <c r="M113" s="817"/>
      <c r="N113" s="817"/>
      <c r="O113" s="839">
        <v>1.140799484566634</v>
      </c>
      <c r="P113" s="833">
        <v>0.57039974228331702</v>
      </c>
      <c r="Q113" s="833">
        <v>0.57039974228331702</v>
      </c>
      <c r="R113" s="833" t="s">
        <v>452</v>
      </c>
      <c r="S113" s="832"/>
      <c r="T113" s="839">
        <v>1.2548794330232975</v>
      </c>
      <c r="U113" s="833" t="s">
        <v>452</v>
      </c>
      <c r="V113" s="837"/>
      <c r="W113" s="833">
        <v>1.2548794330232975</v>
      </c>
      <c r="X113" s="833" t="s">
        <v>452</v>
      </c>
      <c r="AB113" s="717"/>
    </row>
    <row r="114" spans="2:28">
      <c r="B114" s="764" t="s">
        <v>1068</v>
      </c>
      <c r="C114" s="839">
        <v>6.7118417245866134E-3</v>
      </c>
      <c r="D114" s="833">
        <v>0</v>
      </c>
      <c r="E114" s="833">
        <v>6.7118417245866134E-3</v>
      </c>
      <c r="F114" s="833" t="s">
        <v>452</v>
      </c>
      <c r="G114" s="837"/>
      <c r="H114" s="839">
        <v>6.7118417245866134E-3</v>
      </c>
      <c r="I114" s="833" t="s">
        <v>452</v>
      </c>
      <c r="J114" s="837"/>
      <c r="K114" s="833" t="s">
        <v>452</v>
      </c>
      <c r="L114" s="833">
        <v>6.7118417245866134E-3</v>
      </c>
      <c r="M114" s="817"/>
      <c r="N114" s="817"/>
      <c r="O114" s="839">
        <v>5.9311981020166078</v>
      </c>
      <c r="P114" s="833">
        <v>0</v>
      </c>
      <c r="Q114" s="833">
        <v>5.9311981020166078</v>
      </c>
      <c r="R114" s="833" t="s">
        <v>452</v>
      </c>
      <c r="S114" s="832"/>
      <c r="T114" s="839">
        <v>5.9311981020166078</v>
      </c>
      <c r="U114" s="833" t="s">
        <v>452</v>
      </c>
      <c r="V114" s="837"/>
      <c r="W114" s="833" t="s">
        <v>452</v>
      </c>
      <c r="X114" s="833">
        <v>5.9311981020166078</v>
      </c>
      <c r="AB114" s="717"/>
    </row>
    <row r="115" spans="2:28">
      <c r="B115" s="764" t="s">
        <v>963</v>
      </c>
      <c r="C115" s="840">
        <f>IF(ISNUMBER(INDEX(Database!$G$6:$G$197, MATCH($B115&amp;"USD bn", Database!$AD$6:$AD$197, 0))), INDEX(Database!$G$6:$G$197, MATCH($B115&amp;"USD bn", Database!$AD$6:$AD$197, 0)), "")</f>
        <v>0.6143669224556243</v>
      </c>
      <c r="D115" s="837">
        <f>IF(ISNUMBER(INDEX(Database!$H$6:$H$197, MATCH($B115&amp;"USD bn", Database!$AD$6:$AD$197, 0))), INDEX(Database!$H$6:$H$197, MATCH($B115&amp;"USD bn", Database!$AD$6:$AD$197, 0)), "")</f>
        <v>7.7721116696193429E-2</v>
      </c>
      <c r="E115" s="837">
        <f>IF(ISNUMBER(INDEX(Database!$J$6:$J$197, MATCH($B115&amp;"USD bn", Database!$AD$6:$AD$197, 0))), INDEX(Database!$J$6:$J$197, MATCH($B115&amp;"USD bn", Database!$AD$6:$AD$197, 0)), "")</f>
        <v>0.53664580575943077</v>
      </c>
      <c r="F115" s="833" t="str">
        <f>IF(ISNUMBER(INDEX(Database!$L$6:$L$197, MATCH($B115&amp;"USD bn", Database!$AD$6:$AD$197, 0))), INDEX(Database!$L$6:$L$197, MATCH($B115&amp;"USD bn", Database!$AD$6:$AD$197, 0)), "")</f>
        <v/>
      </c>
      <c r="G115" s="837"/>
      <c r="H115" s="840">
        <f>IF(ISNUMBER(INDEX(Database!$P$6:$P$197, MATCH($B115&amp;"USD bn", Database!$AD$6:$AD$197, 0))), INDEX(Database!$P$6:$P$197, MATCH($B115&amp;"USD bn", Database!$AD$6:$AD$197, 0)), "")</f>
        <v>0.37047065625185532</v>
      </c>
      <c r="I115" s="837" t="str">
        <f>IF(ISNUMBER(INDEX(Database!$Q$6:$Q$197, MATCH($B115&amp;"USD bn", Database!$AD$6:$AD$197, 0))), INDEX(Database!$Q$6:$Q$197, MATCH($B115&amp;"USD bn", Database!$AD$6:$AD$197, 0)), "")</f>
        <v/>
      </c>
      <c r="J115" s="837"/>
      <c r="K115" s="837">
        <f>IF(ISNUMBER(INDEX(Database!$U$6:$U$197, MATCH($B115&amp;"USD bn", Database!$AD$6:$AD$197, 0))), INDEX(Database!$U$6:$U$197, MATCH($B115&amp;"USD bn", Database!$AD$6:$AD$197, 0)), "")</f>
        <v>0.37047065625185532</v>
      </c>
      <c r="L115" s="837" t="str">
        <f>IF(ISNUMBER(INDEX(Database!$W$6:$W$197, MATCH($B115&amp;"USD bn", Database!$AD$6:$AD$197, 0))), INDEX(Database!$W$6:$W$197, MATCH($B115&amp;"USD bn", Database!$AD$6:$AD$197, 0)), "")</f>
        <v/>
      </c>
      <c r="M115" s="817"/>
      <c r="N115" s="817"/>
      <c r="O115" s="835">
        <f>IF(ISNUMBER(INDEX(Database!$G$6:$G$197, MATCH($B115&amp;"% GDP", Database!$AD$6:$AD$197, 0))), INDEX(Database!$G$6:$G$197, MATCH($B115&amp;"% GDP", Database!$AD$6:$AD$197, 0)), "")</f>
        <v>4.9999322298342346</v>
      </c>
      <c r="P115" s="836">
        <f>IF(ISNUMBER(INDEX(Database!$H$6:$H$197, MATCH($B115&amp;"% GDP", Database!$AD$6:$AD$197, 0))), INDEX(Database!$H$6:$H$197, MATCH($B115&amp;"% GDP", Database!$AD$6:$AD$197, 0)), "")</f>
        <v>0.63252154714770437</v>
      </c>
      <c r="Q115" s="836">
        <f>IF(ISNUMBER(INDEX(Database!$J$6:$J$197, MATCH($B115&amp;"% GDP", Database!$AD$6:$AD$197, 0))), INDEX(Database!$J$6:$J$197, MATCH($B115&amp;"% GDP", Database!$AD$6:$AD$197, 0)), "")</f>
        <v>4.36741068268653</v>
      </c>
      <c r="R115" s="836" t="str">
        <f>IF(ISNUMBER(INDEX(Database!$L$6:$L$197, MATCH($B115&amp;"% GDP", Database!$AD$6:$AD$197, 0))), INDEX(Database!$L$6:$L$197, MATCH($B115&amp;"% GDP", Database!$AD$6:$AD$197, 0)), "")</f>
        <v/>
      </c>
      <c r="S115" s="836"/>
      <c r="T115" s="835">
        <f>IF(ISNUMBER(INDEX(Database!$P$6:$P$197, MATCH($B115&amp;"% GDP", Database!$AD$6:$AD$197, 0))), INDEX(Database!$P$6:$P$197, MATCH($B115&amp;"% GDP", Database!$AD$6:$AD$197, 0)), "")</f>
        <v>3.0150193747373906</v>
      </c>
      <c r="U115" s="836" t="str">
        <f>IF(ISNUMBER(INDEX(Database!$Q$6:$Q$197, MATCH($B115&amp;"% GDP", Database!$AD$6:$AD$197, 0))), INDEX(Database!$Q$6:$Q$197, MATCH($B115&amp;"% GDP", Database!$AD$6:$AD$197, 0)), "")</f>
        <v/>
      </c>
      <c r="V115" s="836"/>
      <c r="W115" s="836">
        <f>IF(ISNUMBER(INDEX(Database!$U$6:$U$197, MATCH($B115&amp;"% GDP", Database!$AD$6:$AD$197, 0))), INDEX(Database!$U$6:$U$197, MATCH($B115&amp;"% GDP", Database!$AD$6:$AD$197, 0)), "")</f>
        <v>3.0150193747373906</v>
      </c>
      <c r="X115" s="836" t="str">
        <f>IF(ISNUMBER(INDEX(Database!$W$6:$W$197, MATCH($B115&amp;"% GDP", Database!$AD$6:$AD$197, 0))), INDEX(Database!$W$6:$W$197, MATCH($B115&amp;"% GDP", Database!$AD$6:$AD$197, 0)), "")</f>
        <v/>
      </c>
      <c r="AB115" s="717"/>
    </row>
    <row r="116" spans="2:28">
      <c r="B116" s="764" t="s">
        <v>1070</v>
      </c>
      <c r="C116" s="839" t="s">
        <v>452</v>
      </c>
      <c r="D116" s="833" t="s">
        <v>452</v>
      </c>
      <c r="E116" s="833" t="s">
        <v>452</v>
      </c>
      <c r="F116" s="833" t="s">
        <v>452</v>
      </c>
      <c r="G116" s="837"/>
      <c r="H116" s="839" t="s">
        <v>452</v>
      </c>
      <c r="I116" s="833" t="s">
        <v>452</v>
      </c>
      <c r="J116" s="837"/>
      <c r="K116" s="833" t="s">
        <v>452</v>
      </c>
      <c r="L116" s="833" t="s">
        <v>452</v>
      </c>
      <c r="M116" s="817"/>
      <c r="N116" s="817"/>
      <c r="O116" s="839" t="s">
        <v>452</v>
      </c>
      <c r="P116" s="833" t="s">
        <v>452</v>
      </c>
      <c r="Q116" s="833" t="s">
        <v>452</v>
      </c>
      <c r="R116" s="833" t="s">
        <v>452</v>
      </c>
      <c r="S116" s="832"/>
      <c r="T116" s="839" t="s">
        <v>452</v>
      </c>
      <c r="U116" s="833" t="s">
        <v>452</v>
      </c>
      <c r="V116" s="837"/>
      <c r="W116" s="833" t="s">
        <v>452</v>
      </c>
      <c r="X116" s="833" t="s">
        <v>452</v>
      </c>
      <c r="AB116" s="717"/>
    </row>
    <row r="117" spans="2:28">
      <c r="B117" s="764" t="s">
        <v>554</v>
      </c>
      <c r="C117" s="840">
        <f>IF(ISNUMBER(INDEX(Database!$G$6:$G$197, MATCH($B117&amp;"USD bn", Database!$AD$6:$AD$197, 0))), INDEX(Database!$G$6:$G$197, MATCH($B117&amp;"USD bn", Database!$AD$6:$AD$197, 0)), "")</f>
        <v>5.2148375564455147</v>
      </c>
      <c r="D117" s="837">
        <f>IF(ISNUMBER(INDEX(Database!$H$6:$H$197, MATCH($B117&amp;"USD bn", Database!$AD$6:$AD$197, 0))), INDEX(Database!$H$6:$H$197, MATCH($B117&amp;"USD bn", Database!$AD$6:$AD$197, 0)), "")</f>
        <v>1.1210641123759681</v>
      </c>
      <c r="E117" s="837">
        <f>IF(ISNUMBER(INDEX(Database!$J$6:$J$197, MATCH($B117&amp;"USD bn", Database!$AD$6:$AD$197, 0))), INDEX(Database!$J$6:$J$197, MATCH($B117&amp;"USD bn", Database!$AD$6:$AD$197, 0)), "")</f>
        <v>4.0937734440695461</v>
      </c>
      <c r="F117" s="833">
        <f>IF(ISNUMBER(INDEX(Database!$L$6:$L$197, MATCH($B117&amp;"USD bn", Database!$AD$6:$AD$197, 0))), INDEX(Database!$L$6:$L$197, MATCH($B117&amp;"USD bn", Database!$AD$6:$AD$197, 0)), "")</f>
        <v>3.0230942356205883</v>
      </c>
      <c r="G117" s="837"/>
      <c r="H117" s="840" t="str">
        <f>IF(ISNUMBER(INDEX(Database!$P$6:$P$197, MATCH($B117&amp;"USD bn", Database!$AD$6:$AD$197, 0))), INDEX(Database!$P$6:$P$197, MATCH($B117&amp;"USD bn", Database!$AD$6:$AD$197, 0)), "")</f>
        <v/>
      </c>
      <c r="I117" s="837" t="str">
        <f>IF(ISNUMBER(INDEX(Database!$Q$6:$Q$197, MATCH($B117&amp;"USD bn", Database!$AD$6:$AD$197, 0))), INDEX(Database!$Q$6:$Q$197, MATCH($B117&amp;"USD bn", Database!$AD$6:$AD$197, 0)), "")</f>
        <v/>
      </c>
      <c r="J117" s="837"/>
      <c r="K117" s="837" t="str">
        <f>IF(ISNUMBER(INDEX(Database!$U$6:$U$197, MATCH($B117&amp;"USD bn", Database!$AD$6:$AD$197, 0))), INDEX(Database!$U$6:$U$197, MATCH($B117&amp;"USD bn", Database!$AD$6:$AD$197, 0)), "")</f>
        <v/>
      </c>
      <c r="L117" s="837" t="str">
        <f>IF(ISNUMBER(INDEX(Database!$W$6:$W$197, MATCH($B117&amp;"USD bn", Database!$AD$6:$AD$197, 0))), INDEX(Database!$W$6:$W$197, MATCH($B117&amp;"USD bn", Database!$AD$6:$AD$197, 0)), "")</f>
        <v/>
      </c>
      <c r="M117" s="817"/>
      <c r="N117" s="817"/>
      <c r="O117" s="835">
        <f>IF(ISNUMBER(INDEX(Database!$G$6:$G$197, MATCH($B117&amp;"% GDP", Database!$AD$6:$AD$197, 0))), INDEX(Database!$G$6:$G$197, MATCH($B117&amp;"% GDP", Database!$AD$6:$AD$197, 0)), "")</f>
        <v>1.9924764282578782</v>
      </c>
      <c r="P117" s="836">
        <f>IF(ISNUMBER(INDEX(Database!$H$6:$H$197, MATCH($B117&amp;"% GDP", Database!$AD$6:$AD$197, 0))), INDEX(Database!$H$6:$H$197, MATCH($B117&amp;"% GDP", Database!$AD$6:$AD$197, 0)), "")</f>
        <v>0.42833430462548588</v>
      </c>
      <c r="Q117" s="836">
        <f>IF(ISNUMBER(INDEX(Database!$J$6:$J$197, MATCH($B117&amp;"% GDP", Database!$AD$6:$AD$197, 0))), INDEX(Database!$J$6:$J$197, MATCH($B117&amp;"% GDP", Database!$AD$6:$AD$197, 0)), "")</f>
        <v>1.5641421236323922</v>
      </c>
      <c r="R117" s="836">
        <f>IF(ISNUMBER(INDEX(Database!$L$6:$L$197, MATCH($B117&amp;"% GDP", Database!$AD$6:$AD$197, 0))), INDEX(Database!$L$6:$L$197, MATCH($B117&amp;"% GDP", Database!$AD$6:$AD$197, 0)), "")</f>
        <v>1.1550587989900742</v>
      </c>
      <c r="S117" s="836"/>
      <c r="T117" s="835" t="str">
        <f>IF(ISNUMBER(INDEX(Database!$P$6:$P$197, MATCH($B117&amp;"% GDP", Database!$AD$6:$AD$197, 0))), INDEX(Database!$P$6:$P$197, MATCH($B117&amp;"% GDP", Database!$AD$6:$AD$197, 0)), "")</f>
        <v/>
      </c>
      <c r="U117" s="836" t="str">
        <f>IF(ISNUMBER(INDEX(Database!$Q$6:$Q$197, MATCH($B117&amp;"% GDP", Database!$AD$6:$AD$197, 0))), INDEX(Database!$Q$6:$Q$197, MATCH($B117&amp;"% GDP", Database!$AD$6:$AD$197, 0)), "")</f>
        <v/>
      </c>
      <c r="V117" s="836"/>
      <c r="W117" s="836" t="str">
        <f>IF(ISNUMBER(INDEX(Database!$U$6:$U$197, MATCH($B117&amp;"% GDP", Database!$AD$6:$AD$197, 0))), INDEX(Database!$U$6:$U$197, MATCH($B117&amp;"% GDP", Database!$AD$6:$AD$197, 0)), "")</f>
        <v/>
      </c>
      <c r="X117" s="836" t="str">
        <f>IF(ISNUMBER(INDEX(Database!$W$6:$W$197, MATCH($B117&amp;"% GDP", Database!$AD$6:$AD$197, 0))), INDEX(Database!$W$6:$W$197, MATCH($B117&amp;"% GDP", Database!$AD$6:$AD$197, 0)), "")</f>
        <v/>
      </c>
      <c r="AB117" s="562"/>
    </row>
    <row r="118" spans="2:28">
      <c r="B118" s="764" t="s">
        <v>1071</v>
      </c>
      <c r="C118" s="839">
        <v>0.02</v>
      </c>
      <c r="D118" s="833">
        <v>0</v>
      </c>
      <c r="E118" s="833">
        <v>0.02</v>
      </c>
      <c r="F118" s="833" t="s">
        <v>452</v>
      </c>
      <c r="G118" s="837"/>
      <c r="H118" s="839" t="s">
        <v>452</v>
      </c>
      <c r="I118" s="833" t="s">
        <v>452</v>
      </c>
      <c r="J118" s="837"/>
      <c r="K118" s="833" t="s">
        <v>452</v>
      </c>
      <c r="L118" s="833" t="s">
        <v>452</v>
      </c>
      <c r="M118" s="817"/>
      <c r="N118" s="817"/>
      <c r="O118" s="839">
        <v>7.9698720195532191</v>
      </c>
      <c r="P118" s="833">
        <v>0</v>
      </c>
      <c r="Q118" s="833">
        <v>7.9698720195532191</v>
      </c>
      <c r="R118" s="833" t="s">
        <v>452</v>
      </c>
      <c r="S118" s="832"/>
      <c r="T118" s="839" t="s">
        <v>452</v>
      </c>
      <c r="U118" s="833" t="s">
        <v>452</v>
      </c>
      <c r="V118" s="837"/>
      <c r="W118" s="833" t="s">
        <v>452</v>
      </c>
      <c r="X118" s="833" t="s">
        <v>452</v>
      </c>
      <c r="AB118" s="717"/>
    </row>
    <row r="119" spans="2:28">
      <c r="B119" s="764" t="s">
        <v>1072</v>
      </c>
      <c r="C119" s="839">
        <v>1.8</v>
      </c>
      <c r="D119" s="833">
        <v>0.9</v>
      </c>
      <c r="E119" s="833">
        <v>0.9</v>
      </c>
      <c r="F119" s="833" t="s">
        <v>452</v>
      </c>
      <c r="G119" s="837"/>
      <c r="H119" s="839" t="s">
        <v>452</v>
      </c>
      <c r="I119" s="833" t="s">
        <v>452</v>
      </c>
      <c r="J119" s="837"/>
      <c r="K119" s="833" t="s">
        <v>452</v>
      </c>
      <c r="L119" s="833" t="s">
        <v>452</v>
      </c>
      <c r="M119" s="817"/>
      <c r="N119" s="817"/>
      <c r="O119" s="839">
        <v>2.9857586590044525</v>
      </c>
      <c r="P119" s="833">
        <v>1.4928793295022262</v>
      </c>
      <c r="Q119" s="833">
        <v>1.4928793295022262</v>
      </c>
      <c r="R119" s="833" t="s">
        <v>452</v>
      </c>
      <c r="S119" s="832"/>
      <c r="T119" s="839" t="s">
        <v>452</v>
      </c>
      <c r="U119" s="833" t="s">
        <v>452</v>
      </c>
      <c r="V119" s="837"/>
      <c r="W119" s="833" t="s">
        <v>452</v>
      </c>
      <c r="X119" s="833" t="s">
        <v>452</v>
      </c>
      <c r="AB119" s="717"/>
    </row>
    <row r="120" spans="2:28">
      <c r="B120" s="764" t="s">
        <v>1073</v>
      </c>
      <c r="C120" s="839">
        <v>0.92027059977651338</v>
      </c>
      <c r="D120" s="833" t="s">
        <v>452</v>
      </c>
      <c r="E120" s="833" t="s">
        <v>452</v>
      </c>
      <c r="F120" s="833" t="s">
        <v>452</v>
      </c>
      <c r="G120" s="837"/>
      <c r="H120" s="839" t="s">
        <v>452</v>
      </c>
      <c r="I120" s="833" t="s">
        <v>452</v>
      </c>
      <c r="J120" s="837"/>
      <c r="K120" s="833" t="s">
        <v>452</v>
      </c>
      <c r="L120" s="833" t="s">
        <v>452</v>
      </c>
      <c r="M120" s="817"/>
      <c r="N120" s="817"/>
      <c r="O120" s="839">
        <v>2.6023538290229582</v>
      </c>
      <c r="P120" s="833" t="s">
        <v>452</v>
      </c>
      <c r="Q120" s="833" t="s">
        <v>452</v>
      </c>
      <c r="R120" s="833" t="s">
        <v>452</v>
      </c>
      <c r="S120" s="832"/>
      <c r="T120" s="839" t="s">
        <v>452</v>
      </c>
      <c r="U120" s="833" t="s">
        <v>452</v>
      </c>
      <c r="V120" s="837"/>
      <c r="W120" s="833" t="s">
        <v>452</v>
      </c>
      <c r="X120" s="833" t="s">
        <v>452</v>
      </c>
      <c r="AB120" s="717"/>
    </row>
    <row r="121" spans="2:28">
      <c r="B121" s="764" t="s">
        <v>555</v>
      </c>
      <c r="C121" s="840">
        <f>IF(ISNUMBER(INDEX(Database!$G$6:$G$197, MATCH($B121&amp;"USD bn", Database!$AD$6:$AD$197, 0))), INDEX(Database!$G$6:$G$197, MATCH($B121&amp;"USD bn", Database!$AD$6:$AD$197, 0)), "")</f>
        <v>19.711394276042082</v>
      </c>
      <c r="D121" s="837">
        <f>IF(ISNUMBER(INDEX(Database!$H$6:$H$197, MATCH($B121&amp;"USD bn", Database!$AD$6:$AD$197, 0))), INDEX(Database!$H$6:$H$197, MATCH($B121&amp;"USD bn", Database!$AD$6:$AD$197, 0)), "")</f>
        <v>3.4452457296794692</v>
      </c>
      <c r="E121" s="837">
        <f>IF(ISNUMBER(INDEX(Database!$J$6:$J$197, MATCH($B121&amp;"USD bn", Database!$AD$6:$AD$197, 0))), INDEX(Database!$J$6:$J$197, MATCH($B121&amp;"USD bn", Database!$AD$6:$AD$197, 0)), "")</f>
        <v>16.266148546362611</v>
      </c>
      <c r="F121" s="833">
        <f>IF(ISNUMBER(INDEX(Database!$L$6:$L$197, MATCH($B121&amp;"USD bn", Database!$AD$6:$AD$197, 0))), INDEX(Database!$L$6:$L$197, MATCH($B121&amp;"USD bn", Database!$AD$6:$AD$197, 0)), "")</f>
        <v>3.4458178870704317</v>
      </c>
      <c r="G121" s="837"/>
      <c r="H121" s="840">
        <f>IF(ISNUMBER(INDEX(Database!$P$6:$P$197, MATCH($B121&amp;"USD bn", Database!$AD$6:$AD$197, 0))), INDEX(Database!$P$6:$P$197, MATCH($B121&amp;"USD bn", Database!$AD$6:$AD$197, 0)), "")</f>
        <v>19.796645727295466</v>
      </c>
      <c r="I121" s="837">
        <f>IF(ISNUMBER(INDEX(Database!$Q$6:$Q$197, MATCH($B121&amp;"USD bn", Database!$AD$6:$AD$197, 0))), INDEX(Database!$Q$6:$Q$197, MATCH($B121&amp;"USD bn", Database!$AD$6:$AD$197, 0)), "")</f>
        <v>0</v>
      </c>
      <c r="J121" s="837"/>
      <c r="K121" s="837">
        <f>IF(ISNUMBER(INDEX(Database!$U$6:$U$197, MATCH($B121&amp;"USD bn", Database!$AD$6:$AD$197, 0))), INDEX(Database!$U$6:$U$197, MATCH($B121&amp;"USD bn", Database!$AD$6:$AD$197, 0)), "")</f>
        <v>19.796645727295466</v>
      </c>
      <c r="L121" s="837" t="str">
        <f>IF(ISNUMBER(INDEX(Database!$W$6:$W$197, MATCH($B121&amp;"USD bn", Database!$AD$6:$AD$197, 0))), INDEX(Database!$W$6:$W$197, MATCH($B121&amp;"USD bn", Database!$AD$6:$AD$197, 0)), "")</f>
        <v/>
      </c>
      <c r="M121" s="817"/>
      <c r="N121" s="817"/>
      <c r="O121" s="835">
        <f>IF(ISNUMBER(INDEX(Database!$G$6:$G$197, MATCH($B121&amp;"% GDP", Database!$AD$6:$AD$197, 0))), INDEX(Database!$G$6:$G$197, MATCH($B121&amp;"% GDP", Database!$AD$6:$AD$197, 0)), "")</f>
        <v>9.5938667869694285</v>
      </c>
      <c r="P121" s="836">
        <f>IF(ISNUMBER(INDEX(Database!$H$6:$H$197, MATCH($B121&amp;"% GDP", Database!$AD$6:$AD$197, 0))), INDEX(Database!$H$6:$H$197, MATCH($B121&amp;"% GDP", Database!$AD$6:$AD$197, 0)), "")</f>
        <v>1.6768589839986185</v>
      </c>
      <c r="Q121" s="836">
        <f>IF(ISNUMBER(INDEX(Database!$J$6:$J$197, MATCH($B121&amp;"% GDP", Database!$AD$6:$AD$197, 0))), INDEX(Database!$J$6:$J$197, MATCH($B121&amp;"% GDP", Database!$AD$6:$AD$197, 0)), "")</f>
        <v>7.9170078029708097</v>
      </c>
      <c r="R121" s="836">
        <f>IF(ISNUMBER(INDEX(Database!$L$6:$L$197, MATCH($B121&amp;"% GDP", Database!$AD$6:$AD$197, 0))), INDEX(Database!$L$6:$L$197, MATCH($B121&amp;"% GDP", Database!$AD$6:$AD$197, 0)), "")</f>
        <v>1.6771374626142459</v>
      </c>
      <c r="S121" s="836"/>
      <c r="T121" s="835">
        <f>IF(ISNUMBER(INDEX(Database!$P$6:$P$197, MATCH($B121&amp;"% GDP", Database!$AD$6:$AD$197, 0))), INDEX(Database!$P$6:$P$197, MATCH($B121&amp;"% GDP", Database!$AD$6:$AD$197, 0)), "")</f>
        <v>9.6353601006978682</v>
      </c>
      <c r="U121" s="836">
        <f>IF(ISNUMBER(INDEX(Database!$Q$6:$Q$197, MATCH($B121&amp;"% GDP", Database!$AD$6:$AD$197, 0))), INDEX(Database!$Q$6:$Q$197, MATCH($B121&amp;"% GDP", Database!$AD$6:$AD$197, 0)), "")</f>
        <v>0</v>
      </c>
      <c r="V121" s="836"/>
      <c r="W121" s="836">
        <f>IF(ISNUMBER(INDEX(Database!$U$6:$U$197, MATCH($B121&amp;"% GDP", Database!$AD$6:$AD$197, 0))), INDEX(Database!$U$6:$U$197, MATCH($B121&amp;"% GDP", Database!$AD$6:$AD$197, 0)), "")</f>
        <v>9.6353601006978682</v>
      </c>
      <c r="X121" s="836" t="str">
        <f>IF(ISNUMBER(INDEX(Database!$W$6:$W$197, MATCH($B121&amp;"% GDP", Database!$AD$6:$AD$197, 0))), INDEX(Database!$W$6:$W$197, MATCH($B121&amp;"% GDP", Database!$AD$6:$AD$197, 0)), "")</f>
        <v/>
      </c>
      <c r="AB121" s="562"/>
    </row>
    <row r="122" spans="2:28">
      <c r="B122" s="764" t="s">
        <v>556</v>
      </c>
      <c r="C122" s="840">
        <f>IF(ISNUMBER(INDEX(Database!$G$6:$G$197, MATCH($B122&amp;"USD bn", Database!$AD$6:$AD$197, 0))), INDEX(Database!$G$6:$G$197, MATCH($B122&amp;"USD bn", Database!$AD$6:$AD$197, 0)), "")</f>
        <v>16.101047676431413</v>
      </c>
      <c r="D122" s="837">
        <f>IF(ISNUMBER(INDEX(Database!$H$6:$H$197, MATCH($B122&amp;"USD bn", Database!$AD$6:$AD$197, 0))), INDEX(Database!$H$6:$H$197, MATCH($B122&amp;"USD bn", Database!$AD$6:$AD$197, 0)), "")</f>
        <v>3.2846943319878852</v>
      </c>
      <c r="E122" s="837">
        <f>IF(ISNUMBER(INDEX(Database!$J$6:$J$197, MATCH($B122&amp;"USD bn", Database!$AD$6:$AD$197, 0))), INDEX(Database!$J$6:$J$197, MATCH($B122&amp;"USD bn", Database!$AD$6:$AD$197, 0)), "")</f>
        <v>12.816353344443527</v>
      </c>
      <c r="F122" s="833" t="str">
        <f>IF(ISNUMBER(INDEX(Database!$L$6:$L$197, MATCH($B122&amp;"USD bn", Database!$AD$6:$AD$197, 0))), INDEX(Database!$L$6:$L$197, MATCH($B122&amp;"USD bn", Database!$AD$6:$AD$197, 0)), "")</f>
        <v/>
      </c>
      <c r="G122" s="837"/>
      <c r="H122" s="840">
        <f>IF(ISNUMBER(INDEX(Database!$P$6:$P$197, MATCH($B122&amp;"USD bn", Database!$AD$6:$AD$197, 0))), INDEX(Database!$P$6:$P$197, MATCH($B122&amp;"USD bn", Database!$AD$6:$AD$197, 0)), "")</f>
        <v>2.1159073917713367</v>
      </c>
      <c r="I122" s="837">
        <f>IF(ISNUMBER(INDEX(Database!$Q$6:$Q$197, MATCH($B122&amp;"USD bn", Database!$AD$6:$AD$197, 0))), INDEX(Database!$Q$6:$Q$197, MATCH($B122&amp;"USD bn", Database!$AD$6:$AD$197, 0)), "")</f>
        <v>0.10075749484625414</v>
      </c>
      <c r="J122" s="837"/>
      <c r="K122" s="837">
        <f>IF(ISNUMBER(INDEX(Database!$U$6:$U$197, MATCH($B122&amp;"USD bn", Database!$AD$6:$AD$197, 0))), INDEX(Database!$U$6:$U$197, MATCH($B122&amp;"USD bn", Database!$AD$6:$AD$197, 0)), "")</f>
        <v>2.0151498969250827</v>
      </c>
      <c r="L122" s="837" t="str">
        <f>IF(ISNUMBER(INDEX(Database!$W$6:$W$197, MATCH($B122&amp;"USD bn", Database!$AD$6:$AD$197, 0))), INDEX(Database!$W$6:$W$197, MATCH($B122&amp;"USD bn", Database!$AD$6:$AD$197, 0)), "")</f>
        <v/>
      </c>
      <c r="M122" s="817"/>
      <c r="N122" s="817"/>
      <c r="O122" s="835">
        <f>IF(ISNUMBER(INDEX(Database!$G$6:$G$197, MATCH($B122&amp;"% GDP", Database!$AD$6:$AD$197, 0))), INDEX(Database!$G$6:$G$197, MATCH($B122&amp;"% GDP", Database!$AD$6:$AD$197, 0)), "")</f>
        <v>4.4540862311094349</v>
      </c>
      <c r="P122" s="836">
        <f>IF(ISNUMBER(INDEX(Database!$H$6:$H$197, MATCH($B122&amp;"% GDP", Database!$AD$6:$AD$197, 0))), INDEX(Database!$H$6:$H$197, MATCH($B122&amp;"% GDP", Database!$AD$6:$AD$197, 0)), "")</f>
        <v>0.90865588945036024</v>
      </c>
      <c r="Q122" s="836">
        <f>IF(ISNUMBER(INDEX(Database!$J$6:$J$197, MATCH($B122&amp;"% GDP", Database!$AD$6:$AD$197, 0))), INDEX(Database!$J$6:$J$197, MATCH($B122&amp;"% GDP", Database!$AD$6:$AD$197, 0)), "")</f>
        <v>3.545430341659074</v>
      </c>
      <c r="R122" s="836" t="str">
        <f>IF(ISNUMBER(INDEX(Database!$L$6:$L$197, MATCH($B122&amp;"% GDP", Database!$AD$6:$AD$197, 0))), INDEX(Database!$L$6:$L$197, MATCH($B122&amp;"% GDP", Database!$AD$6:$AD$197, 0)), "")</f>
        <v/>
      </c>
      <c r="S122" s="836"/>
      <c r="T122" s="835">
        <f>IF(ISNUMBER(INDEX(Database!$P$6:$P$197, MATCH($B122&amp;"% GDP", Database!$AD$6:$AD$197, 0))), INDEX(Database!$P$6:$P$197, MATCH($B122&amp;"% GDP", Database!$AD$6:$AD$197, 0)), "")</f>
        <v>0.58533048093428119</v>
      </c>
      <c r="U122" s="836">
        <f>IF(ISNUMBER(INDEX(Database!$Q$6:$Q$197, MATCH($B122&amp;"% GDP", Database!$AD$6:$AD$197, 0))), INDEX(Database!$Q$6:$Q$197, MATCH($B122&amp;"% GDP", Database!$AD$6:$AD$197, 0)), "")</f>
        <v>2.7872880044489574E-2</v>
      </c>
      <c r="V122" s="836"/>
      <c r="W122" s="836">
        <f>IF(ISNUMBER(INDEX(Database!$U$6:$U$197, MATCH($B122&amp;"% GDP", Database!$AD$6:$AD$197, 0))), INDEX(Database!$U$6:$U$197, MATCH($B122&amp;"% GDP", Database!$AD$6:$AD$197, 0)), "")</f>
        <v>0.55745760088979157</v>
      </c>
      <c r="X122" s="836" t="str">
        <f>IF(ISNUMBER(INDEX(Database!$W$6:$W$197, MATCH($B122&amp;"% GDP", Database!$AD$6:$AD$197, 0))), INDEX(Database!$W$6:$W$197, MATCH($B122&amp;"% GDP", Database!$AD$6:$AD$197, 0)), "")</f>
        <v/>
      </c>
      <c r="AB122" s="562"/>
    </row>
    <row r="123" spans="2:28">
      <c r="B123" s="764" t="s">
        <v>22</v>
      </c>
      <c r="C123" s="840">
        <f>IF(ISNUMBER(INDEX(Database!$G$6:$G$197, MATCH($B123&amp;"USD bn", Database!$AD$6:$AD$197, 0))), INDEX(Database!$G$6:$G$197, MATCH($B123&amp;"USD bn", Database!$AD$6:$AD$197, 0)), "")</f>
        <v>38.516359409090974</v>
      </c>
      <c r="D123" s="837">
        <f>IF(ISNUMBER(INDEX(Database!$H$6:$H$197, MATCH($B123&amp;"USD bn", Database!$AD$6:$AD$197, 0))), INDEX(Database!$H$6:$H$197, MATCH($B123&amp;"USD bn", Database!$AD$6:$AD$197, 0)), "")</f>
        <v>3.7695771192652283</v>
      </c>
      <c r="E123" s="837">
        <f>IF(ISNUMBER(INDEX(Database!$J$6:$J$197, MATCH($B123&amp;"USD bn", Database!$AD$6:$AD$197, 0))), INDEX(Database!$J$6:$J$197, MATCH($B123&amp;"USD bn", Database!$AD$6:$AD$197, 0)), "")</f>
        <v>34.746782289825745</v>
      </c>
      <c r="F123" s="833" t="str">
        <f>IF(ISNUMBER(INDEX(Database!$L$6:$L$197, MATCH($B123&amp;"USD bn", Database!$AD$6:$AD$197, 0))), INDEX(Database!$L$6:$L$197, MATCH($B123&amp;"USD bn", Database!$AD$6:$AD$197, 0)), "")</f>
        <v/>
      </c>
      <c r="G123" s="837"/>
      <c r="H123" s="840">
        <f>IF(ISNUMBER(INDEX(Database!$P$6:$P$197, MATCH($B123&amp;"USD bn", Database!$AD$6:$AD$197, 0))), INDEX(Database!$P$6:$P$197, MATCH($B123&amp;"USD bn", Database!$AD$6:$AD$197, 0)), "")</f>
        <v>28.720587575354124</v>
      </c>
      <c r="I123" s="837">
        <f>IF(ISNUMBER(INDEX(Database!$Q$6:$Q$197, MATCH($B123&amp;"USD bn", Database!$AD$6:$AD$197, 0))), INDEX(Database!$Q$6:$Q$197, MATCH($B123&amp;"USD bn", Database!$AD$6:$AD$197, 0)), "")</f>
        <v>9.7444850702094339</v>
      </c>
      <c r="J123" s="837"/>
      <c r="K123" s="837">
        <f>IF(ISNUMBER(INDEX(Database!$U$6:$U$197, MATCH($B123&amp;"USD bn", Database!$AD$6:$AD$197, 0))), INDEX(Database!$U$6:$U$197, MATCH($B123&amp;"USD bn", Database!$AD$6:$AD$197, 0)), "")</f>
        <v>18.976102505144688</v>
      </c>
      <c r="L123" s="837" t="str">
        <f>IF(ISNUMBER(INDEX(Database!$W$6:$W$197, MATCH($B123&amp;"USD bn", Database!$AD$6:$AD$197, 0))), INDEX(Database!$W$6:$W$197, MATCH($B123&amp;"USD bn", Database!$AD$6:$AD$197, 0)), "")</f>
        <v/>
      </c>
      <c r="M123" s="817"/>
      <c r="N123" s="817"/>
      <c r="O123" s="835">
        <f>IF(ISNUMBER(INDEX(Database!$G$6:$G$197, MATCH($B123&amp;"% GDP", Database!$AD$6:$AD$197, 0))), INDEX(Database!$G$6:$G$197, MATCH($B123&amp;"% GDP", Database!$AD$6:$AD$197, 0)), "")</f>
        <v>6.463386978297736</v>
      </c>
      <c r="P123" s="836">
        <f>IF(ISNUMBER(INDEX(Database!$H$6:$H$197, MATCH($B123&amp;"% GDP", Database!$AD$6:$AD$197, 0))), INDEX(Database!$H$6:$H$197, MATCH($B123&amp;"% GDP", Database!$AD$6:$AD$197, 0)), "")</f>
        <v>0.63256849920756808</v>
      </c>
      <c r="Q123" s="836">
        <f>IF(ISNUMBER(INDEX(Database!$J$6:$J$197, MATCH($B123&amp;"% GDP", Database!$AD$6:$AD$197, 0))), INDEX(Database!$J$6:$J$197, MATCH($B123&amp;"% GDP", Database!$AD$6:$AD$197, 0)), "")</f>
        <v>5.8308184790901691</v>
      </c>
      <c r="R123" s="836" t="str">
        <f>IF(ISNUMBER(INDEX(Database!$L$6:$L$197, MATCH($B123&amp;"% GDP", Database!$AD$6:$AD$197, 0))), INDEX(Database!$L$6:$L$197, MATCH($B123&amp;"% GDP", Database!$AD$6:$AD$197, 0)), "")</f>
        <v/>
      </c>
      <c r="S123" s="836"/>
      <c r="T123" s="835">
        <f>IF(ISNUMBER(INDEX(Database!$P$6:$P$197, MATCH($B123&amp;"% GDP", Database!$AD$6:$AD$197, 0))), INDEX(Database!$P$6:$P$197, MATCH($B123&amp;"% GDP", Database!$AD$6:$AD$197, 0)), "")</f>
        <v>4.8195695177719475</v>
      </c>
      <c r="U123" s="836">
        <f>IF(ISNUMBER(INDEX(Database!$Q$6:$Q$197, MATCH($B123&amp;"% GDP", Database!$AD$6:$AD$197, 0))), INDEX(Database!$Q$6:$Q$197, MATCH($B123&amp;"% GDP", Database!$AD$6:$AD$197, 0)), "")</f>
        <v>1.6352110863869107</v>
      </c>
      <c r="V123" s="836"/>
      <c r="W123" s="836">
        <f>IF(ISNUMBER(INDEX(Database!$U$6:$U$197, MATCH($B123&amp;"% GDP", Database!$AD$6:$AD$197, 0))), INDEX(Database!$U$6:$U$197, MATCH($B123&amp;"% GDP", Database!$AD$6:$AD$197, 0)), "")</f>
        <v>3.184358431385037</v>
      </c>
      <c r="X123" s="836" t="str">
        <f>IF(ISNUMBER(INDEX(Database!$W$6:$W$197, MATCH($B123&amp;"% GDP", Database!$AD$6:$AD$197, 0))), INDEX(Database!$W$6:$W$197, MATCH($B123&amp;"% GDP", Database!$AD$6:$AD$197, 0)), "")</f>
        <v/>
      </c>
      <c r="AB123" s="562"/>
    </row>
    <row r="124" spans="2:28">
      <c r="B124" s="764" t="s">
        <v>1074</v>
      </c>
      <c r="C124" s="839">
        <v>0.36263736263736263</v>
      </c>
      <c r="D124" s="833" t="s">
        <v>452</v>
      </c>
      <c r="E124" s="833" t="s">
        <v>452</v>
      </c>
      <c r="F124" s="833" t="s">
        <v>452</v>
      </c>
      <c r="G124" s="837"/>
      <c r="H124" s="839" t="s">
        <v>452</v>
      </c>
      <c r="I124" s="833" t="s">
        <v>452</v>
      </c>
      <c r="J124" s="837"/>
      <c r="K124" s="833" t="s">
        <v>452</v>
      </c>
      <c r="L124" s="833" t="s">
        <v>452</v>
      </c>
      <c r="M124" s="817"/>
      <c r="N124" s="817"/>
      <c r="O124" s="839">
        <v>0.23542966175926955</v>
      </c>
      <c r="P124" s="833" t="s">
        <v>452</v>
      </c>
      <c r="Q124" s="833" t="s">
        <v>452</v>
      </c>
      <c r="R124" s="833" t="s">
        <v>452</v>
      </c>
      <c r="S124" s="832"/>
      <c r="T124" s="839" t="s">
        <v>452</v>
      </c>
      <c r="U124" s="833" t="s">
        <v>452</v>
      </c>
      <c r="V124" s="837"/>
      <c r="W124" s="833" t="s">
        <v>452</v>
      </c>
      <c r="X124" s="833" t="s">
        <v>452</v>
      </c>
      <c r="AB124" s="717"/>
    </row>
    <row r="125" spans="2:28">
      <c r="B125" s="764" t="s">
        <v>557</v>
      </c>
      <c r="C125" s="840">
        <f>IF(ISNUMBER(INDEX(Database!$G$6:$G$197, MATCH($B125&amp;"USD bn", Database!$AD$6:$AD$197, 0))), INDEX(Database!$G$6:$G$197, MATCH($B125&amp;"USD bn", Database!$AD$6:$AD$197, 0)), "")</f>
        <v>8.4825802752518751</v>
      </c>
      <c r="D125" s="837">
        <f>IF(ISNUMBER(INDEX(Database!$H$6:$H$197, MATCH($B125&amp;"USD bn", Database!$AD$6:$AD$197, 0))), INDEX(Database!$H$6:$H$197, MATCH($B125&amp;"USD bn", Database!$AD$6:$AD$197, 0)), "")</f>
        <v>2.3562722986810765</v>
      </c>
      <c r="E125" s="837">
        <f>IF(ISNUMBER(INDEX(Database!$J$6:$J$197, MATCH($B125&amp;"USD bn", Database!$AD$6:$AD$197, 0))), INDEX(Database!$J$6:$J$197, MATCH($B125&amp;"USD bn", Database!$AD$6:$AD$197, 0)), "")</f>
        <v>6.1263079765707982</v>
      </c>
      <c r="F125" s="833">
        <f>IF(ISNUMBER(INDEX(Database!$L$6:$L$197, MATCH($B125&amp;"USD bn", Database!$AD$6:$AD$197, 0))), INDEX(Database!$L$6:$L$197, MATCH($B125&amp;"USD bn", Database!$AD$6:$AD$197, 0)), "")</f>
        <v>0.54194262869664755</v>
      </c>
      <c r="G125" s="837"/>
      <c r="H125" s="840">
        <f>IF(ISNUMBER(INDEX(Database!$P$6:$P$197, MATCH($B125&amp;"USD bn", Database!$AD$6:$AD$197, 0))), INDEX(Database!$P$6:$P$197, MATCH($B125&amp;"USD bn", Database!$AD$6:$AD$197, 0)), "")</f>
        <v>10.391160837183547</v>
      </c>
      <c r="I125" s="837">
        <f>IF(ISNUMBER(INDEX(Database!$Q$6:$Q$197, MATCH($B125&amp;"USD bn", Database!$AD$6:$AD$197, 0))), INDEX(Database!$Q$6:$Q$197, MATCH($B125&amp;"USD bn", Database!$AD$6:$AD$197, 0)), "")</f>
        <v>0.40056629077578298</v>
      </c>
      <c r="J125" s="837"/>
      <c r="K125" s="837">
        <f>IF(ISNUMBER(INDEX(Database!$U$6:$U$197, MATCH($B125&amp;"USD bn", Database!$AD$6:$AD$197, 0))), INDEX(Database!$U$6:$U$197, MATCH($B125&amp;"USD bn", Database!$AD$6:$AD$197, 0)), "")</f>
        <v>9.9905945464077632</v>
      </c>
      <c r="L125" s="837" t="str">
        <f>IF(ISNUMBER(INDEX(Database!$W$6:$W$197, MATCH($B125&amp;"USD bn", Database!$AD$6:$AD$197, 0))), INDEX(Database!$W$6:$W$197, MATCH($B125&amp;"USD bn", Database!$AD$6:$AD$197, 0)), "")</f>
        <v/>
      </c>
      <c r="M125" s="817"/>
      <c r="N125" s="817"/>
      <c r="O125" s="835">
        <f>IF(ISNUMBER(INDEX(Database!$G$6:$G$197, MATCH($B125&amp;"% GDP", Database!$AD$6:$AD$197, 0))), INDEX(Database!$G$6:$G$197, MATCH($B125&amp;"% GDP", Database!$AD$6:$AD$197, 0)), "")</f>
        <v>3.4105481432975906</v>
      </c>
      <c r="P125" s="836">
        <f>IF(ISNUMBER(INDEX(Database!$H$6:$H$197, MATCH($B125&amp;"% GDP", Database!$AD$6:$AD$197, 0))), INDEX(Database!$H$6:$H$197, MATCH($B125&amp;"% GDP", Database!$AD$6:$AD$197, 0)), "")</f>
        <v>0.94737448424933068</v>
      </c>
      <c r="Q125" s="836">
        <f>IF(ISNUMBER(INDEX(Database!$J$6:$J$197, MATCH($B125&amp;"% GDP", Database!$AD$6:$AD$197, 0))), INDEX(Database!$J$6:$J$197, MATCH($B125&amp;"% GDP", Database!$AD$6:$AD$197, 0)), "")</f>
        <v>2.4631736590482598</v>
      </c>
      <c r="R125" s="836">
        <f>IF(ISNUMBER(INDEX(Database!$L$6:$L$197, MATCH($B125&amp;"% GDP", Database!$AD$6:$AD$197, 0))), INDEX(Database!$L$6:$L$197, MATCH($B125&amp;"% GDP", Database!$AD$6:$AD$197, 0)), "")</f>
        <v>0.21789613137734604</v>
      </c>
      <c r="S125" s="836"/>
      <c r="T125" s="835">
        <f>IF(ISNUMBER(INDEX(Database!$P$6:$P$197, MATCH($B125&amp;"% GDP", Database!$AD$6:$AD$197, 0))), INDEX(Database!$P$6:$P$197, MATCH($B125&amp;"% GDP", Database!$AD$6:$AD$197, 0)), "")</f>
        <v>4.1779214755395486</v>
      </c>
      <c r="U125" s="836">
        <f>IF(ISNUMBER(INDEX(Database!$Q$6:$Q$197, MATCH($B125&amp;"% GDP", Database!$AD$6:$AD$197, 0))), INDEX(Database!$Q$6:$Q$197, MATCH($B125&amp;"% GDP", Database!$AD$6:$AD$197, 0)), "")</f>
        <v>0.16105366232238622</v>
      </c>
      <c r="V125" s="836"/>
      <c r="W125" s="836">
        <f>IF(ISNUMBER(INDEX(Database!$U$6:$U$197, MATCH($B125&amp;"% GDP", Database!$AD$6:$AD$197, 0))), INDEX(Database!$U$6:$U$197, MATCH($B125&amp;"% GDP", Database!$AD$6:$AD$197, 0)), "")</f>
        <v>4.0168678132171625</v>
      </c>
      <c r="X125" s="836" t="str">
        <f>IF(ISNUMBER(INDEX(Database!$W$6:$W$197, MATCH($B125&amp;"% GDP", Database!$AD$6:$AD$197, 0))), INDEX(Database!$W$6:$W$197, MATCH($B125&amp;"% GDP", Database!$AD$6:$AD$197, 0)), "")</f>
        <v/>
      </c>
      <c r="AB125" s="562"/>
    </row>
    <row r="126" spans="2:28">
      <c r="B126" s="764" t="s">
        <v>1075</v>
      </c>
      <c r="C126" s="839">
        <v>5.743576428859723E-2</v>
      </c>
      <c r="D126" s="833">
        <v>7.6581019051462978E-3</v>
      </c>
      <c r="E126" s="833">
        <v>4.9777662383450938E-2</v>
      </c>
      <c r="F126" s="833">
        <v>1.9145254762865747E-2</v>
      </c>
      <c r="G126" s="837"/>
      <c r="H126" s="839">
        <v>2.2974305715438893E-2</v>
      </c>
      <c r="I126" s="833" t="s">
        <v>452</v>
      </c>
      <c r="J126" s="837"/>
      <c r="K126" s="833" t="s">
        <v>452</v>
      </c>
      <c r="L126" s="833">
        <v>2.2974305715438893E-2</v>
      </c>
      <c r="M126" s="817"/>
      <c r="N126" s="817"/>
      <c r="O126" s="839">
        <v>6.8413431986842177</v>
      </c>
      <c r="P126" s="833">
        <v>0.91217909315789569</v>
      </c>
      <c r="Q126" s="833">
        <v>5.929164105526322</v>
      </c>
      <c r="R126" s="833">
        <v>2.2804477328947392</v>
      </c>
      <c r="S126" s="832"/>
      <c r="T126" s="839">
        <v>2.7365372794736871</v>
      </c>
      <c r="U126" s="833" t="s">
        <v>452</v>
      </c>
      <c r="V126" s="837"/>
      <c r="W126" s="833" t="s">
        <v>452</v>
      </c>
      <c r="X126" s="833">
        <v>2.7365372794736871</v>
      </c>
      <c r="AB126" s="717"/>
    </row>
    <row r="127" spans="2:28">
      <c r="B127" s="764" t="s">
        <v>953</v>
      </c>
      <c r="C127" s="840">
        <f>IF(ISNUMBER(INDEX(Database!$G$6:$G$197, MATCH($B127&amp;"USD bn", Database!$AD$6:$AD$197, 0))), INDEX(Database!$G$6:$G$197, MATCH($B127&amp;"USD bn", Database!$AD$6:$AD$197, 0)), "")</f>
        <v>6.4363979597070609</v>
      </c>
      <c r="D127" s="837">
        <f>IF(ISNUMBER(INDEX(Database!$H$6:$H$197, MATCH($B127&amp;"USD bn", Database!$AD$6:$AD$197, 0))), INDEX(Database!$H$6:$H$197, MATCH($B127&amp;"USD bn", Database!$AD$6:$AD$197, 0)), "")</f>
        <v>1.2116713026556967</v>
      </c>
      <c r="E127" s="837">
        <f>IF(ISNUMBER(INDEX(Database!$J$6:$J$197, MATCH($B127&amp;"USD bn", Database!$AD$6:$AD$197, 0))), INDEX(Database!$J$6:$J$197, MATCH($B127&amp;"USD bn", Database!$AD$6:$AD$197, 0)), "")</f>
        <v>5.2247266570513649</v>
      </c>
      <c r="F127" s="833">
        <f>IF(ISNUMBER(INDEX(Database!$L$6:$L$197, MATCH($B127&amp;"USD bn", Database!$AD$6:$AD$197, 0))), INDEX(Database!$L$6:$L$197, MATCH($B127&amp;"USD bn", Database!$AD$6:$AD$197, 0)), "")</f>
        <v>1.434618822344345</v>
      </c>
      <c r="G127" s="837"/>
      <c r="H127" s="840">
        <f>IF(ISNUMBER(INDEX(Database!$P$6:$P$197, MATCH($B127&amp;"USD bn", Database!$AD$6:$AD$197, 0))), INDEX(Database!$P$6:$P$197, MATCH($B127&amp;"USD bn", Database!$AD$6:$AD$197, 0)), "")</f>
        <v>1.6963398237179754</v>
      </c>
      <c r="I127" s="837" t="str">
        <f>IF(ISNUMBER(INDEX(Database!$Q$6:$Q$197, MATCH($B127&amp;"USD bn", Database!$AD$6:$AD$197, 0))), INDEX(Database!$Q$6:$Q$197, MATCH($B127&amp;"USD bn", Database!$AD$6:$AD$197, 0)), "")</f>
        <v/>
      </c>
      <c r="J127" s="837"/>
      <c r="K127" s="837">
        <f>IF(ISNUMBER(INDEX(Database!$U$6:$U$197, MATCH($B127&amp;"USD bn", Database!$AD$6:$AD$197, 0))), INDEX(Database!$U$6:$U$197, MATCH($B127&amp;"USD bn", Database!$AD$6:$AD$197, 0)), "")</f>
        <v>1.6963398237179754</v>
      </c>
      <c r="L127" s="837">
        <f>IF(ISNUMBER(INDEX(Database!$W$6:$W$197, MATCH($B127&amp;"USD bn", Database!$AD$6:$AD$197, 0))), INDEX(Database!$W$6:$W$197, MATCH($B127&amp;"USD bn", Database!$AD$6:$AD$197, 0)), "")</f>
        <v>0</v>
      </c>
      <c r="M127" s="817"/>
      <c r="N127" s="817"/>
      <c r="O127" s="835">
        <f>IF(ISNUMBER(INDEX(Database!$G$6:$G$197, MATCH($B127&amp;"% GDP", Database!$AD$6:$AD$197, 0))), INDEX(Database!$G$6:$G$197, MATCH($B127&amp;"% GDP", Database!$AD$6:$AD$197, 0)), "")</f>
        <v>12.153288105042478</v>
      </c>
      <c r="P127" s="836">
        <f>IF(ISNUMBER(INDEX(Database!$H$6:$H$197, MATCH($B127&amp;"% GDP", Database!$AD$6:$AD$197, 0))), INDEX(Database!$H$6:$H$197, MATCH($B127&amp;"% GDP", Database!$AD$6:$AD$197, 0)), "")</f>
        <v>2.2878930920637197</v>
      </c>
      <c r="Q127" s="836">
        <f>IF(ISNUMBER(INDEX(Database!$J$6:$J$197, MATCH($B127&amp;"% GDP", Database!$AD$6:$AD$197, 0))), INDEX(Database!$J$6:$J$197, MATCH($B127&amp;"% GDP", Database!$AD$6:$AD$197, 0)), "")</f>
        <v>9.8653950129787589</v>
      </c>
      <c r="R127" s="836">
        <f>IF(ISNUMBER(INDEX(Database!$L$6:$L$197, MATCH($B127&amp;"% GDP", Database!$AD$6:$AD$197, 0))), INDEX(Database!$L$6:$L$197, MATCH($B127&amp;"% GDP", Database!$AD$6:$AD$197, 0)), "")</f>
        <v>2.708865421003444</v>
      </c>
      <c r="S127" s="836"/>
      <c r="T127" s="835">
        <f>IF(ISNUMBER(INDEX(Database!$P$6:$P$197, MATCH($B127&amp;"% GDP", Database!$AD$6:$AD$197, 0))), INDEX(Database!$P$6:$P$197, MATCH($B127&amp;"% GDP", Database!$AD$6:$AD$197, 0)), "")</f>
        <v>3.203050328889208</v>
      </c>
      <c r="U127" s="836" t="str">
        <f>IF(ISNUMBER(INDEX(Database!$Q$6:$Q$197, MATCH($B127&amp;"% GDP", Database!$AD$6:$AD$197, 0))), INDEX(Database!$Q$6:$Q$197, MATCH($B127&amp;"% GDP", Database!$AD$6:$AD$197, 0)), "")</f>
        <v/>
      </c>
      <c r="V127" s="836"/>
      <c r="W127" s="836">
        <f>IF(ISNUMBER(INDEX(Database!$U$6:$U$197, MATCH($B127&amp;"% GDP", Database!$AD$6:$AD$197, 0))), INDEX(Database!$U$6:$U$197, MATCH($B127&amp;"% GDP", Database!$AD$6:$AD$197, 0)), "")</f>
        <v>3.203050328889208</v>
      </c>
      <c r="X127" s="836">
        <f>IF(ISNUMBER(INDEX(Database!$W$6:$W$197, MATCH($B127&amp;"% GDP", Database!$AD$6:$AD$197, 0))), INDEX(Database!$W$6:$W$197, MATCH($B127&amp;"% GDP", Database!$AD$6:$AD$197, 0)), "")</f>
        <v>0</v>
      </c>
      <c r="AB127" s="717"/>
    </row>
    <row r="128" spans="2:28">
      <c r="B128" s="764" t="s">
        <v>1076</v>
      </c>
      <c r="C128" s="839">
        <v>6.99421965317919E-2</v>
      </c>
      <c r="D128" s="833">
        <v>6.3583815028901728E-3</v>
      </c>
      <c r="E128" s="833">
        <v>6.358381502890173E-2</v>
      </c>
      <c r="F128" s="833">
        <v>2.8901734104046241E-3</v>
      </c>
      <c r="G128" s="837"/>
      <c r="H128" s="839" t="s">
        <v>452</v>
      </c>
      <c r="I128" s="833" t="s">
        <v>452</v>
      </c>
      <c r="J128" s="837"/>
      <c r="K128" s="833" t="s">
        <v>452</v>
      </c>
      <c r="L128" s="833" t="s">
        <v>452</v>
      </c>
      <c r="M128" s="817"/>
      <c r="N128" s="817"/>
      <c r="O128" s="839">
        <v>5.8387378660658014</v>
      </c>
      <c r="P128" s="833">
        <v>0.53079435146052745</v>
      </c>
      <c r="Q128" s="833">
        <v>5.3079435146052738</v>
      </c>
      <c r="R128" s="833">
        <v>0.24127015975478522</v>
      </c>
      <c r="S128" s="832"/>
      <c r="T128" s="839" t="s">
        <v>452</v>
      </c>
      <c r="U128" s="833" t="s">
        <v>452</v>
      </c>
      <c r="V128" s="837"/>
      <c r="W128" s="833" t="s">
        <v>452</v>
      </c>
      <c r="X128" s="833" t="s">
        <v>452</v>
      </c>
      <c r="AB128" s="717"/>
    </row>
    <row r="129" spans="2:28">
      <c r="B129" s="764" t="s">
        <v>1077</v>
      </c>
      <c r="C129" s="839">
        <v>0.23304055324798004</v>
      </c>
      <c r="D129" s="833">
        <v>8.6111982724426817E-3</v>
      </c>
      <c r="E129" s="833">
        <v>0.22442935497553734</v>
      </c>
      <c r="F129" s="833" t="s">
        <v>452</v>
      </c>
      <c r="G129" s="837"/>
      <c r="H129" s="839" t="s">
        <v>452</v>
      </c>
      <c r="I129" s="833" t="s">
        <v>452</v>
      </c>
      <c r="J129" s="837"/>
      <c r="K129" s="833" t="s">
        <v>452</v>
      </c>
      <c r="L129" s="833" t="s">
        <v>452</v>
      </c>
      <c r="M129" s="817"/>
      <c r="N129" s="817"/>
      <c r="O129" s="839">
        <v>0.27689485240833689</v>
      </c>
      <c r="P129" s="833">
        <v>1.0231680458506675E-2</v>
      </c>
      <c r="Q129" s="833">
        <v>0.26666317194983019</v>
      </c>
      <c r="R129" s="833" t="s">
        <v>452</v>
      </c>
      <c r="S129" s="832"/>
      <c r="T129" s="839" t="s">
        <v>452</v>
      </c>
      <c r="U129" s="833" t="s">
        <v>452</v>
      </c>
      <c r="V129" s="837"/>
      <c r="W129" s="833" t="s">
        <v>452</v>
      </c>
      <c r="X129" s="833" t="s">
        <v>452</v>
      </c>
      <c r="AB129" s="717"/>
    </row>
    <row r="130" spans="2:28">
      <c r="B130" s="764" t="s">
        <v>1078</v>
      </c>
      <c r="C130" s="839">
        <v>4.4444444444444439E-2</v>
      </c>
      <c r="D130" s="833">
        <v>7.4074074074074068E-3</v>
      </c>
      <c r="E130" s="833">
        <v>3.7037037037037035E-2</v>
      </c>
      <c r="F130" s="833" t="s">
        <v>452</v>
      </c>
      <c r="G130" s="837"/>
      <c r="H130" s="839" t="s">
        <v>452</v>
      </c>
      <c r="I130" s="833" t="s">
        <v>452</v>
      </c>
      <c r="J130" s="837"/>
      <c r="K130" s="833" t="s">
        <v>452</v>
      </c>
      <c r="L130" s="833" t="s">
        <v>452</v>
      </c>
      <c r="M130" s="817"/>
      <c r="N130" s="817"/>
      <c r="O130" s="839">
        <v>4.7324743668239595</v>
      </c>
      <c r="P130" s="833">
        <v>0.78874572780399332</v>
      </c>
      <c r="Q130" s="833">
        <v>3.9437286390199668</v>
      </c>
      <c r="R130" s="833" t="s">
        <v>452</v>
      </c>
      <c r="S130" s="832"/>
      <c r="T130" s="839" t="s">
        <v>452</v>
      </c>
      <c r="U130" s="833" t="s">
        <v>452</v>
      </c>
      <c r="V130" s="837"/>
      <c r="W130" s="833" t="s">
        <v>452</v>
      </c>
      <c r="X130" s="833" t="s">
        <v>452</v>
      </c>
      <c r="AB130" s="717"/>
    </row>
    <row r="131" spans="2:28">
      <c r="B131" s="764" t="s">
        <v>1079</v>
      </c>
      <c r="C131" s="839">
        <v>0.24814814814814815</v>
      </c>
      <c r="D131" s="833">
        <v>7.4074074074074068E-3</v>
      </c>
      <c r="E131" s="833">
        <v>0.24074074074074073</v>
      </c>
      <c r="F131" s="833" t="s">
        <v>452</v>
      </c>
      <c r="G131" s="837"/>
      <c r="H131" s="839" t="s">
        <v>452</v>
      </c>
      <c r="I131" s="833" t="s">
        <v>452</v>
      </c>
      <c r="J131" s="837"/>
      <c r="K131" s="833" t="s">
        <v>452</v>
      </c>
      <c r="L131" s="833" t="s">
        <v>452</v>
      </c>
      <c r="M131" s="817"/>
      <c r="N131" s="817"/>
      <c r="O131" s="839">
        <v>14.021073160425217</v>
      </c>
      <c r="P131" s="833">
        <v>0.41853949732612583</v>
      </c>
      <c r="Q131" s="833">
        <v>13.602533663099091</v>
      </c>
      <c r="R131" s="833" t="s">
        <v>452</v>
      </c>
      <c r="S131" s="832"/>
      <c r="T131" s="839" t="s">
        <v>452</v>
      </c>
      <c r="U131" s="833" t="s">
        <v>452</v>
      </c>
      <c r="V131" s="837"/>
      <c r="W131" s="833" t="s">
        <v>452</v>
      </c>
      <c r="X131" s="833" t="s">
        <v>452</v>
      </c>
      <c r="AB131" s="717"/>
    </row>
    <row r="132" spans="2:28">
      <c r="B132" s="764" t="s">
        <v>1080</v>
      </c>
      <c r="C132" s="839">
        <v>2.9629629629629627E-2</v>
      </c>
      <c r="D132" s="833">
        <v>3.7037037037037034E-3</v>
      </c>
      <c r="E132" s="833">
        <v>2.5925925925925925E-2</v>
      </c>
      <c r="F132" s="833" t="s">
        <v>452</v>
      </c>
      <c r="G132" s="837"/>
      <c r="H132" s="839" t="s">
        <v>452</v>
      </c>
      <c r="I132" s="833" t="s">
        <v>452</v>
      </c>
      <c r="J132" s="837"/>
      <c r="K132" s="833" t="s">
        <v>452</v>
      </c>
      <c r="L132" s="833" t="s">
        <v>452</v>
      </c>
      <c r="M132" s="817"/>
      <c r="N132" s="817"/>
      <c r="O132" s="839">
        <v>3.8109492405931289</v>
      </c>
      <c r="P132" s="833">
        <v>0.47636865507414111</v>
      </c>
      <c r="Q132" s="833">
        <v>3.3345805855189878</v>
      </c>
      <c r="R132" s="833" t="s">
        <v>452</v>
      </c>
      <c r="S132" s="832"/>
      <c r="T132" s="839" t="s">
        <v>452</v>
      </c>
      <c r="U132" s="833" t="s">
        <v>452</v>
      </c>
      <c r="V132" s="837"/>
      <c r="W132" s="833" t="s">
        <v>452</v>
      </c>
      <c r="X132" s="833" t="s">
        <v>452</v>
      </c>
      <c r="AB132" s="717"/>
    </row>
    <row r="133" spans="2:28">
      <c r="B133" s="764" t="s">
        <v>559</v>
      </c>
      <c r="C133" s="840">
        <f>IF(ISNUMBER(INDEX(Database!$G$6:$G$197, MATCH($B133&amp;"USD bn", Database!$AD$6:$AD$197, 0))), INDEX(Database!$G$6:$G$197, MATCH($B133&amp;"USD bn", Database!$AD$6:$AD$197, 0)), "")</f>
        <v>73.187651709336336</v>
      </c>
      <c r="D133" s="837" t="str">
        <f>IF(ISNUMBER(INDEX(Database!$H$6:$H$197, MATCH($B133&amp;"USD bn", Database!$AD$6:$AD$197, 0))), INDEX(Database!$H$6:$H$197, MATCH($B133&amp;"USD bn", Database!$AD$6:$AD$197, 0)), "")</f>
        <v/>
      </c>
      <c r="E133" s="837" t="str">
        <f>IF(ISNUMBER(INDEX(Database!$J$6:$J$197, MATCH($B133&amp;"USD bn", Database!$AD$6:$AD$197, 0))), INDEX(Database!$J$6:$J$197, MATCH($B133&amp;"USD bn", Database!$AD$6:$AD$197, 0)), "")</f>
        <v/>
      </c>
      <c r="F133" s="833" t="str">
        <f>IF(ISNUMBER(INDEX(Database!$L$6:$L$197, MATCH($B133&amp;"USD bn", Database!$AD$6:$AD$197, 0))), INDEX(Database!$L$6:$L$197, MATCH($B133&amp;"USD bn", Database!$AD$6:$AD$197, 0)), "")</f>
        <v/>
      </c>
      <c r="G133" s="837"/>
      <c r="H133" s="840">
        <f>IF(ISNUMBER(INDEX(Database!$P$6:$P$197, MATCH($B133&amp;"USD bn", Database!$AD$6:$AD$197, 0))), INDEX(Database!$P$6:$P$197, MATCH($B133&amp;"USD bn", Database!$AD$6:$AD$197, 0)), "")</f>
        <v>21.253182701619505</v>
      </c>
      <c r="I133" s="837">
        <f>IF(ISNUMBER(INDEX(Database!$Q$6:$Q$197, MATCH($B133&amp;"USD bn", Database!$AD$6:$AD$197, 0))), INDEX(Database!$Q$6:$Q$197, MATCH($B133&amp;"USD bn", Database!$AD$6:$AD$197, 0)), "")</f>
        <v>2.8763705911966246</v>
      </c>
      <c r="J133" s="837"/>
      <c r="K133" s="837">
        <f>IF(ISNUMBER(INDEX(Database!$U$6:$U$197, MATCH($B133&amp;"USD bn", Database!$AD$6:$AD$197, 0))), INDEX(Database!$U$6:$U$197, MATCH($B133&amp;"USD bn", Database!$AD$6:$AD$197, 0)), "")</f>
        <v>10.386893801543367</v>
      </c>
      <c r="L133" s="837">
        <f>IF(ISNUMBER(INDEX(Database!$W$6:$W$197, MATCH($B133&amp;"USD bn", Database!$AD$6:$AD$197, 0))), INDEX(Database!$W$6:$W$197, MATCH($B133&amp;"USD bn", Database!$AD$6:$AD$197, 0)), "")</f>
        <v>7.9899183088795134</v>
      </c>
      <c r="M133" s="817"/>
      <c r="N133" s="817"/>
      <c r="O133" s="835">
        <f>IF(ISNUMBER(INDEX(Database!$G$6:$G$197, MATCH($B133&amp;"% GDP", Database!$AD$6:$AD$197, 0))), INDEX(Database!$G$6:$G$197, MATCH($B133&amp;"% GDP", Database!$AD$6:$AD$197, 0)), "")</f>
        <v>14.587579816038515</v>
      </c>
      <c r="P133" s="836" t="str">
        <f>IF(ISNUMBER(INDEX(Database!$H$6:$H$197, MATCH($B133&amp;"% GDP", Database!$AD$6:$AD$197, 0))), INDEX(Database!$H$6:$H$197, MATCH($B133&amp;"% GDP", Database!$AD$6:$AD$197, 0)), "")</f>
        <v/>
      </c>
      <c r="Q133" s="836" t="str">
        <f>IF(ISNUMBER(INDEX(Database!$J$6:$J$197, MATCH($B133&amp;"% GDP", Database!$AD$6:$AD$197, 0))), INDEX(Database!$J$6:$J$197, MATCH($B133&amp;"% GDP", Database!$AD$6:$AD$197, 0)), "")</f>
        <v/>
      </c>
      <c r="R133" s="836" t="str">
        <f>IF(ISNUMBER(INDEX(Database!$L$6:$L$197, MATCH($B133&amp;"% GDP", Database!$AD$6:$AD$197, 0))), INDEX(Database!$L$6:$L$197, MATCH($B133&amp;"% GDP", Database!$AD$6:$AD$197, 0)), "")</f>
        <v/>
      </c>
      <c r="S133" s="836"/>
      <c r="T133" s="835">
        <f>IF(ISNUMBER(INDEX(Database!$P$6:$P$197, MATCH($B133&amp;"% GDP", Database!$AD$6:$AD$197, 0))), INDEX(Database!$P$6:$P$197, MATCH($B133&amp;"% GDP", Database!$AD$6:$AD$197, 0)), "")</f>
        <v>4.2361312566225386</v>
      </c>
      <c r="U133" s="836">
        <f>IF(ISNUMBER(INDEX(Database!$Q$6:$Q$197, MATCH($B133&amp;"% GDP", Database!$AD$6:$AD$197, 0))), INDEX(Database!$Q$6:$Q$197, MATCH($B133&amp;"% GDP", Database!$AD$6:$AD$197, 0)), "")</f>
        <v>0.57331099713688494</v>
      </c>
      <c r="V133" s="836"/>
      <c r="W133" s="836">
        <f>IF(ISNUMBER(INDEX(Database!$U$6:$U$197, MATCH($B133&amp;"% GDP", Database!$AD$6:$AD$197, 0))), INDEX(Database!$U$6:$U$197, MATCH($B133&amp;"% GDP", Database!$AD$6:$AD$197, 0)), "")</f>
        <v>2.0702897118831953</v>
      </c>
      <c r="X133" s="836">
        <f>IF(ISNUMBER(INDEX(Database!$W$6:$W$197, MATCH($B133&amp;"% GDP", Database!$AD$6:$AD$197, 0))), INDEX(Database!$W$6:$W$197, MATCH($B133&amp;"% GDP", Database!$AD$6:$AD$197, 0)), "")</f>
        <v>1.592530547602458</v>
      </c>
      <c r="AB133" s="562"/>
    </row>
    <row r="134" spans="2:28">
      <c r="B134" s="764" t="s">
        <v>1081</v>
      </c>
      <c r="C134" s="839">
        <v>2.644065210129673E-2</v>
      </c>
      <c r="D134" s="833">
        <v>8.8135507004322433E-3</v>
      </c>
      <c r="E134" s="833">
        <v>1.7627101400864487E-2</v>
      </c>
      <c r="F134" s="833" t="s">
        <v>452</v>
      </c>
      <c r="G134" s="837"/>
      <c r="H134" s="839" t="s">
        <v>452</v>
      </c>
      <c r="I134" s="833" t="s">
        <v>452</v>
      </c>
      <c r="J134" s="837"/>
      <c r="K134" s="833" t="s">
        <v>452</v>
      </c>
      <c r="L134" s="833" t="s">
        <v>452</v>
      </c>
      <c r="M134" s="817"/>
      <c r="N134" s="817"/>
      <c r="O134" s="839">
        <v>5.2324579383017786</v>
      </c>
      <c r="P134" s="833">
        <v>1.744152646100593</v>
      </c>
      <c r="Q134" s="833">
        <v>3.4883052922011855</v>
      </c>
      <c r="R134" s="833" t="s">
        <v>452</v>
      </c>
      <c r="S134" s="832"/>
      <c r="T134" s="839" t="s">
        <v>452</v>
      </c>
      <c r="U134" s="833" t="s">
        <v>452</v>
      </c>
      <c r="V134" s="837"/>
      <c r="W134" s="833" t="s">
        <v>452</v>
      </c>
      <c r="X134" s="833" t="s">
        <v>452</v>
      </c>
      <c r="AB134" s="717"/>
    </row>
    <row r="135" spans="2:28">
      <c r="B135" s="764" t="s">
        <v>1082</v>
      </c>
      <c r="C135" s="839">
        <v>0.56260234045848034</v>
      </c>
      <c r="D135" s="833">
        <v>2.3688519598251804E-2</v>
      </c>
      <c r="E135" s="833">
        <v>0.53891382086022854</v>
      </c>
      <c r="F135" s="833" t="s">
        <v>452</v>
      </c>
      <c r="G135" s="837"/>
      <c r="H135" s="839" t="s">
        <v>452</v>
      </c>
      <c r="I135" s="833" t="s">
        <v>452</v>
      </c>
      <c r="J135" s="837"/>
      <c r="K135" s="833" t="s">
        <v>452</v>
      </c>
      <c r="L135" s="833" t="s">
        <v>452</v>
      </c>
      <c r="M135" s="817"/>
      <c r="N135" s="817"/>
      <c r="O135" s="839">
        <v>2.4764408833270228</v>
      </c>
      <c r="P135" s="833">
        <v>0.1042711950874536</v>
      </c>
      <c r="Q135" s="833">
        <v>2.3721696882395693</v>
      </c>
      <c r="R135" s="833" t="s">
        <v>452</v>
      </c>
      <c r="S135" s="832"/>
      <c r="T135" s="839" t="s">
        <v>452</v>
      </c>
      <c r="U135" s="833" t="s">
        <v>452</v>
      </c>
      <c r="V135" s="837"/>
      <c r="W135" s="833" t="s">
        <v>452</v>
      </c>
      <c r="X135" s="833" t="s">
        <v>452</v>
      </c>
      <c r="AB135" s="717"/>
    </row>
    <row r="136" spans="2:28">
      <c r="B136" s="764" t="s">
        <v>30</v>
      </c>
      <c r="C136" s="840">
        <f>IF(ISNUMBER(INDEX(Database!$G$6:$G$197, MATCH($B136&amp;"USD bn", Database!$AD$6:$AD$197, 0))), INDEX(Database!$G$6:$G$197, MATCH($B136&amp;"USD bn", Database!$AD$6:$AD$197, 0)), "")</f>
        <v>1.0614213919969644</v>
      </c>
      <c r="D136" s="837">
        <f>IF(ISNUMBER(INDEX(Database!$H$6:$H$197, MATCH($B136&amp;"USD bn", Database!$AD$6:$AD$197, 0))), INDEX(Database!$H$6:$H$197, MATCH($B136&amp;"USD bn", Database!$AD$6:$AD$197, 0)), "")</f>
        <v>0.14045609709842577</v>
      </c>
      <c r="E136" s="837">
        <f>IF(ISNUMBER(INDEX(Database!$J$6:$J$197, MATCH($B136&amp;"USD bn", Database!$AD$6:$AD$197, 0))), INDEX(Database!$J$6:$J$197, MATCH($B136&amp;"USD bn", Database!$AD$6:$AD$197, 0)), "")</f>
        <v>0.92096529489853862</v>
      </c>
      <c r="F136" s="833">
        <f>IF(ISNUMBER(INDEX(Database!$L$6:$L$197, MATCH($B136&amp;"USD bn", Database!$AD$6:$AD$197, 0))), INDEX(Database!$L$6:$L$197, MATCH($B136&amp;"USD bn", Database!$AD$6:$AD$197, 0)), "")</f>
        <v>0.1066755167836145</v>
      </c>
      <c r="G136" s="837"/>
      <c r="H136" s="840">
        <f>IF(ISNUMBER(INDEX(Database!$P$6:$P$197, MATCH($B136&amp;"USD bn", Database!$AD$6:$AD$197, 0))), INDEX(Database!$P$6:$P$197, MATCH($B136&amp;"USD bn", Database!$AD$6:$AD$197, 0)), "")</f>
        <v>0.32002655035084349</v>
      </c>
      <c r="I136" s="837">
        <f>IF(ISNUMBER(INDEX(Database!$Q$6:$Q$197, MATCH($B136&amp;"USD bn", Database!$AD$6:$AD$197, 0))), INDEX(Database!$Q$6:$Q$197, MATCH($B136&amp;"USD bn", Database!$AD$6:$AD$197, 0)), "")</f>
        <v>0.24890953916176717</v>
      </c>
      <c r="J136" s="837"/>
      <c r="K136" s="837">
        <f>IF(ISNUMBER(INDEX(Database!$U$6:$U$197, MATCH($B136&amp;"USD bn", Database!$AD$6:$AD$197, 0))), INDEX(Database!$U$6:$U$197, MATCH($B136&amp;"USD bn", Database!$AD$6:$AD$197, 0)), "")</f>
        <v>7.1117011189076346E-2</v>
      </c>
      <c r="L136" s="837" t="str">
        <f>IF(ISNUMBER(INDEX(Database!$W$6:$W$197, MATCH($B136&amp;"USD bn", Database!$AD$6:$AD$197, 0))), INDEX(Database!$W$6:$W$197, MATCH($B136&amp;"USD bn", Database!$AD$6:$AD$197, 0)), "")</f>
        <v/>
      </c>
      <c r="M136" s="817"/>
      <c r="N136" s="817"/>
      <c r="O136" s="835">
        <f>IF(ISNUMBER(INDEX(Database!$G$6:$G$197, MATCH($B136&amp;"% GDP", Database!$AD$6:$AD$197, 0))), INDEX(Database!$G$6:$G$197, MATCH($B136&amp;"% GDP", Database!$AD$6:$AD$197, 0)), "")</f>
        <v>2.7063675838678867</v>
      </c>
      <c r="P136" s="836">
        <f>IF(ISNUMBER(INDEX(Database!$H$6:$H$197, MATCH($B136&amp;"% GDP", Database!$AD$6:$AD$197, 0))), INDEX(Database!$H$6:$H$197, MATCH($B136&amp;"% GDP", Database!$AD$6:$AD$197, 0)), "")</f>
        <v>0.35812904376141214</v>
      </c>
      <c r="Q136" s="836">
        <f>IF(ISNUMBER(INDEX(Database!$J$6:$J$197, MATCH($B136&amp;"% GDP", Database!$AD$6:$AD$197, 0))), INDEX(Database!$J$6:$J$197, MATCH($B136&amp;"% GDP", Database!$AD$6:$AD$197, 0)), "")</f>
        <v>2.3482385401064745</v>
      </c>
      <c r="R136" s="836">
        <f>IF(ISNUMBER(INDEX(Database!$L$6:$L$197, MATCH($B136&amp;"% GDP", Database!$AD$6:$AD$197, 0))), INDEX(Database!$L$6:$L$197, MATCH($B136&amp;"% GDP", Database!$AD$6:$AD$197, 0)), "")</f>
        <v>0.27199674209727503</v>
      </c>
      <c r="S136" s="836"/>
      <c r="T136" s="835">
        <f>IF(ISNUMBER(INDEX(Database!$P$6:$P$197, MATCH($B136&amp;"% GDP", Database!$AD$6:$AD$197, 0))), INDEX(Database!$P$6:$P$197, MATCH($B136&amp;"% GDP", Database!$AD$6:$AD$197, 0)), "")</f>
        <v>0.81599022629182516</v>
      </c>
      <c r="U136" s="836">
        <f>IF(ISNUMBER(INDEX(Database!$Q$6:$Q$197, MATCH($B136&amp;"% GDP", Database!$AD$6:$AD$197, 0))), INDEX(Database!$Q$6:$Q$197, MATCH($B136&amp;"% GDP", Database!$AD$6:$AD$197, 0)), "")</f>
        <v>0.63465906489364177</v>
      </c>
      <c r="V136" s="836"/>
      <c r="W136" s="836">
        <f>IF(ISNUMBER(INDEX(Database!$U$6:$U$197, MATCH($B136&amp;"% GDP", Database!$AD$6:$AD$197, 0))), INDEX(Database!$U$6:$U$197, MATCH($B136&amp;"% GDP", Database!$AD$6:$AD$197, 0)), "")</f>
        <v>0.18133116139818339</v>
      </c>
      <c r="X136" s="836" t="str">
        <f>IF(ISNUMBER(INDEX(Database!$W$6:$W$197, MATCH($B136&amp;"% GDP", Database!$AD$6:$AD$197, 0))), INDEX(Database!$W$6:$W$197, MATCH($B136&amp;"% GDP", Database!$AD$6:$AD$197, 0)), "")</f>
        <v/>
      </c>
      <c r="AB136" s="562"/>
    </row>
    <row r="137" spans="2:28">
      <c r="B137" s="764" t="s">
        <v>1083</v>
      </c>
      <c r="C137" s="839">
        <v>1.1428571428571429E-2</v>
      </c>
      <c r="D137" s="833">
        <v>1.1428571428571429E-2</v>
      </c>
      <c r="E137" s="833">
        <v>0</v>
      </c>
      <c r="F137" s="833" t="s">
        <v>452</v>
      </c>
      <c r="G137" s="837"/>
      <c r="H137" s="839">
        <v>1.1428571428571429E-2</v>
      </c>
      <c r="I137" s="833">
        <v>1.1428571428571429E-2</v>
      </c>
      <c r="J137" s="837"/>
      <c r="K137" s="833" t="s">
        <v>452</v>
      </c>
      <c r="L137" s="833" t="s">
        <v>452</v>
      </c>
      <c r="M137" s="817"/>
      <c r="N137" s="817"/>
      <c r="O137" s="839">
        <v>2.3837808027539514E-2</v>
      </c>
      <c r="P137" s="833">
        <v>2.3837808027539514E-2</v>
      </c>
      <c r="Q137" s="833">
        <v>0</v>
      </c>
      <c r="R137" s="833" t="s">
        <v>452</v>
      </c>
      <c r="S137" s="832"/>
      <c r="T137" s="839">
        <v>2.3837808027539514E-2</v>
      </c>
      <c r="U137" s="833">
        <v>2.3837808027539514E-2</v>
      </c>
      <c r="V137" s="837"/>
      <c r="W137" s="833" t="s">
        <v>452</v>
      </c>
      <c r="X137" s="833" t="s">
        <v>452</v>
      </c>
      <c r="AB137" s="717"/>
    </row>
    <row r="138" spans="2:28">
      <c r="B138" s="764" t="s">
        <v>1250</v>
      </c>
      <c r="C138" s="839">
        <v>1.3127928628601898E-2</v>
      </c>
      <c r="D138" s="833">
        <v>6.5639643143009492E-3</v>
      </c>
      <c r="E138" s="833">
        <v>6.5639643143009492E-3</v>
      </c>
      <c r="F138" s="833" t="s">
        <v>452</v>
      </c>
      <c r="G138" s="837"/>
      <c r="H138" s="839" t="s">
        <v>452</v>
      </c>
      <c r="I138" s="833" t="s">
        <v>452</v>
      </c>
      <c r="J138" s="837"/>
      <c r="K138" s="833" t="s">
        <v>452</v>
      </c>
      <c r="L138" s="833" t="s">
        <v>452</v>
      </c>
      <c r="M138" s="817"/>
      <c r="N138" s="817"/>
      <c r="O138" s="839">
        <v>29.591839754269362</v>
      </c>
      <c r="P138" s="833">
        <v>14.795919877134681</v>
      </c>
      <c r="Q138" s="833">
        <v>14.795919877134681</v>
      </c>
      <c r="R138" s="833" t="s">
        <v>452</v>
      </c>
      <c r="S138" s="832"/>
      <c r="T138" s="839" t="s">
        <v>452</v>
      </c>
      <c r="U138" s="833" t="s">
        <v>452</v>
      </c>
      <c r="V138" s="837"/>
      <c r="W138" s="833" t="s">
        <v>452</v>
      </c>
      <c r="X138" s="833" t="s">
        <v>452</v>
      </c>
      <c r="AB138" s="717"/>
    </row>
    <row r="139" spans="2:28">
      <c r="B139" s="764" t="s">
        <v>1084</v>
      </c>
      <c r="C139" s="839">
        <v>4.3573021065572055</v>
      </c>
      <c r="D139" s="833">
        <v>1.1868397474631718</v>
      </c>
      <c r="E139" s="833">
        <v>3.1704623590940342</v>
      </c>
      <c r="F139" s="833" t="s">
        <v>452</v>
      </c>
      <c r="G139" s="837"/>
      <c r="H139" s="839" t="s">
        <v>452</v>
      </c>
      <c r="I139" s="833" t="s">
        <v>452</v>
      </c>
      <c r="J139" s="837"/>
      <c r="K139" s="833" t="s">
        <v>452</v>
      </c>
      <c r="L139" s="833" t="s">
        <v>452</v>
      </c>
      <c r="M139" s="817"/>
      <c r="N139" s="817"/>
      <c r="O139" s="839">
        <v>3.3446490892739087</v>
      </c>
      <c r="P139" s="833">
        <v>0.91101382997820313</v>
      </c>
      <c r="Q139" s="833">
        <v>2.4336352592957056</v>
      </c>
      <c r="R139" s="833" t="s">
        <v>452</v>
      </c>
      <c r="S139" s="832"/>
      <c r="T139" s="839" t="s">
        <v>452</v>
      </c>
      <c r="U139" s="833" t="s">
        <v>452</v>
      </c>
      <c r="V139" s="837"/>
      <c r="W139" s="833" t="s">
        <v>452</v>
      </c>
      <c r="X139" s="833" t="s">
        <v>452</v>
      </c>
      <c r="AB139" s="717"/>
    </row>
    <row r="140" spans="2:28">
      <c r="B140" s="764" t="s">
        <v>56</v>
      </c>
      <c r="C140" s="840">
        <f>IF(ISNUMBER(INDEX(Database!$G$6:$G$197, MATCH($B140&amp;"USD bn", Database!$AD$6:$AD$197, 0))), INDEX(Database!$G$6:$G$197, MATCH($B140&amp;"USD bn", Database!$AD$6:$AD$197, 0)), "")</f>
        <v>8.7134104833219883</v>
      </c>
      <c r="D140" s="837" t="str">
        <f>IF(ISNUMBER(INDEX(Database!$H$6:$H$197, MATCH($B140&amp;"USD bn", Database!$AD$6:$AD$197, 0))), INDEX(Database!$H$6:$H$197, MATCH($B140&amp;"USD bn", Database!$AD$6:$AD$197, 0)), "")</f>
        <v/>
      </c>
      <c r="E140" s="837" t="str">
        <f>IF(ISNUMBER(INDEX(Database!$J$6:$J$197, MATCH($B140&amp;"USD bn", Database!$AD$6:$AD$197, 0))), INDEX(Database!$J$6:$J$197, MATCH($B140&amp;"USD bn", Database!$AD$6:$AD$197, 0)), "")</f>
        <v/>
      </c>
      <c r="F140" s="833" t="str">
        <f>IF(ISNUMBER(INDEX(Database!$L$6:$L$197, MATCH($B140&amp;"USD bn", Database!$AD$6:$AD$197, 0))), INDEX(Database!$L$6:$L$197, MATCH($B140&amp;"USD bn", Database!$AD$6:$AD$197, 0)), "")</f>
        <v/>
      </c>
      <c r="G140" s="837"/>
      <c r="H140" s="840" t="str">
        <f>IF(ISNUMBER(INDEX(Database!$P$6:$P$197, MATCH($B140&amp;"USD bn", Database!$AD$6:$AD$197, 0))), INDEX(Database!$P$6:$P$197, MATCH($B140&amp;"USD bn", Database!$AD$6:$AD$197, 0)), "")</f>
        <v/>
      </c>
      <c r="I140" s="837" t="str">
        <f>IF(ISNUMBER(INDEX(Database!$Q$6:$Q$197, MATCH($B140&amp;"USD bn", Database!$AD$6:$AD$197, 0))), INDEX(Database!$Q$6:$Q$197, MATCH($B140&amp;"USD bn", Database!$AD$6:$AD$197, 0)), "")</f>
        <v/>
      </c>
      <c r="J140" s="837"/>
      <c r="K140" s="837" t="str">
        <f>IF(ISNUMBER(INDEX(Database!$U$6:$U$197, MATCH($B140&amp;"USD bn", Database!$AD$6:$AD$197, 0))), INDEX(Database!$U$6:$U$197, MATCH($B140&amp;"USD bn", Database!$AD$6:$AD$197, 0)), "")</f>
        <v/>
      </c>
      <c r="L140" s="837" t="str">
        <f>IF(ISNUMBER(INDEX(Database!$W$6:$W$197, MATCH($B140&amp;"USD bn", Database!$AD$6:$AD$197, 0))), INDEX(Database!$W$6:$W$197, MATCH($B140&amp;"USD bn", Database!$AD$6:$AD$197, 0)), "")</f>
        <v/>
      </c>
      <c r="M140" s="817"/>
      <c r="N140" s="817"/>
      <c r="O140" s="835">
        <f>IF(ISNUMBER(INDEX(Database!$G$6:$G$197, MATCH($B140&amp;"% GDP", Database!$AD$6:$AD$197, 0))), INDEX(Database!$G$6:$G$197, MATCH($B140&amp;"% GDP", Database!$AD$6:$AD$197, 0)), "")</f>
        <v>2.4280205714042915</v>
      </c>
      <c r="P140" s="836" t="str">
        <f>IF(ISNUMBER(INDEX(Database!$H$6:$H$197, MATCH($B140&amp;"% GDP", Database!$AD$6:$AD$197, 0))), INDEX(Database!$H$6:$H$197, MATCH($B140&amp;"% GDP", Database!$AD$6:$AD$197, 0)), "")</f>
        <v/>
      </c>
      <c r="Q140" s="836" t="str">
        <f>IF(ISNUMBER(INDEX(Database!$J$6:$J$197, MATCH($B140&amp;"% GDP", Database!$AD$6:$AD$197, 0))), INDEX(Database!$J$6:$J$197, MATCH($B140&amp;"% GDP", Database!$AD$6:$AD$197, 0)), "")</f>
        <v/>
      </c>
      <c r="R140" s="836" t="str">
        <f>IF(ISNUMBER(INDEX(Database!$L$6:$L$197, MATCH($B140&amp;"% GDP", Database!$AD$6:$AD$197, 0))), INDEX(Database!$L$6:$L$197, MATCH($B140&amp;"% GDP", Database!$AD$6:$AD$197, 0)), "")</f>
        <v/>
      </c>
      <c r="S140" s="836"/>
      <c r="T140" s="835" t="str">
        <f>IF(ISNUMBER(INDEX(Database!$P$6:$P$197, MATCH($B140&amp;"% GDP", Database!$AD$6:$AD$197, 0))), INDEX(Database!$P$6:$P$197, MATCH($B140&amp;"% GDP", Database!$AD$6:$AD$197, 0)), "")</f>
        <v/>
      </c>
      <c r="U140" s="836" t="str">
        <f>IF(ISNUMBER(INDEX(Database!$Q$6:$Q$197, MATCH($B140&amp;"% GDP", Database!$AD$6:$AD$197, 0))), INDEX(Database!$Q$6:$Q$197, MATCH($B140&amp;"% GDP", Database!$AD$6:$AD$197, 0)), "")</f>
        <v/>
      </c>
      <c r="V140" s="836"/>
      <c r="W140" s="836" t="str">
        <f>IF(ISNUMBER(INDEX(Database!$U$6:$U$197, MATCH($B140&amp;"% GDP", Database!$AD$6:$AD$197, 0))), INDEX(Database!$U$6:$U$197, MATCH($B140&amp;"% GDP", Database!$AD$6:$AD$197, 0)), "")</f>
        <v/>
      </c>
      <c r="X140" s="836" t="str">
        <f>IF(ISNUMBER(INDEX(Database!$W$6:$W$197, MATCH($B140&amp;"% GDP", Database!$AD$6:$AD$197, 0))), INDEX(Database!$W$6:$W$197, MATCH($B140&amp;"% GDP", Database!$AD$6:$AD$197, 0)), "")</f>
        <v/>
      </c>
      <c r="AB140" s="562"/>
    </row>
    <row r="141" spans="2:28">
      <c r="B141" s="764" t="s">
        <v>1085</v>
      </c>
      <c r="C141" s="839">
        <v>0.45085640448807185</v>
      </c>
      <c r="D141" s="833" t="s">
        <v>452</v>
      </c>
      <c r="E141" s="833" t="s">
        <v>452</v>
      </c>
      <c r="F141" s="833" t="s">
        <v>452</v>
      </c>
      <c r="G141" s="837"/>
      <c r="H141" s="839" t="s">
        <v>452</v>
      </c>
      <c r="I141" s="833" t="s">
        <v>452</v>
      </c>
      <c r="J141" s="837"/>
      <c r="K141" s="833" t="s">
        <v>452</v>
      </c>
      <c r="L141" s="833" t="s">
        <v>452</v>
      </c>
      <c r="M141" s="817"/>
      <c r="N141" s="817"/>
      <c r="O141" s="839">
        <v>0.84755460341570177</v>
      </c>
      <c r="P141" s="833" t="s">
        <v>452</v>
      </c>
      <c r="Q141" s="833" t="s">
        <v>452</v>
      </c>
      <c r="R141" s="833" t="s">
        <v>452</v>
      </c>
      <c r="S141" s="832"/>
      <c r="T141" s="839" t="s">
        <v>452</v>
      </c>
      <c r="U141" s="833" t="s">
        <v>452</v>
      </c>
      <c r="V141" s="837"/>
      <c r="W141" s="833" t="s">
        <v>452</v>
      </c>
      <c r="X141" s="833" t="s">
        <v>452</v>
      </c>
      <c r="AB141" s="717"/>
    </row>
    <row r="142" spans="2:28">
      <c r="B142" s="764" t="s">
        <v>1086</v>
      </c>
      <c r="C142" s="839">
        <v>3.8133206222645925E-2</v>
      </c>
      <c r="D142" s="833">
        <v>8.6666377778740731E-5</v>
      </c>
      <c r="E142" s="833">
        <v>3.8046539844867187E-2</v>
      </c>
      <c r="F142" s="833">
        <v>4.8533171556094813E-3</v>
      </c>
      <c r="G142" s="837"/>
      <c r="H142" s="839" t="s">
        <v>452</v>
      </c>
      <c r="I142" s="833">
        <v>0</v>
      </c>
      <c r="J142" s="837"/>
      <c r="K142" s="833" t="s">
        <v>452</v>
      </c>
      <c r="L142" s="833" t="s">
        <v>452</v>
      </c>
      <c r="M142" s="817"/>
      <c r="N142" s="817"/>
      <c r="O142" s="839">
        <v>4.4633010212011204</v>
      </c>
      <c r="P142" s="833">
        <v>1.0143865957275273E-2</v>
      </c>
      <c r="Q142" s="833">
        <v>4.4531571552438445</v>
      </c>
      <c r="R142" s="833">
        <v>0.56805649360741528</v>
      </c>
      <c r="S142" s="832"/>
      <c r="T142" s="839" t="s">
        <v>452</v>
      </c>
      <c r="U142" s="833">
        <v>0</v>
      </c>
      <c r="V142" s="837"/>
      <c r="W142" s="833" t="s">
        <v>452</v>
      </c>
      <c r="X142" s="833" t="s">
        <v>452</v>
      </c>
      <c r="AB142" s="717"/>
    </row>
    <row r="143" spans="2:28">
      <c r="B143" s="838" t="s">
        <v>871</v>
      </c>
      <c r="C143" s="840"/>
      <c r="D143" s="832"/>
      <c r="E143" s="832" t="str">
        <f>IF(ISNUMBER(INDEX(Database!$J$6:$J$197, MATCH($B143&amp;"USD bn", Database!$AD$6:$AD$197, 0))), INDEX(Database!$J$6:$J$197, MATCH($B143&amp;"USD bn", Database!$AD$6:$AD$197, 0)), "")</f>
        <v/>
      </c>
      <c r="F143" s="833" t="str">
        <f>IF(ISNUMBER(INDEX(Database!$L$6:$L$197, MATCH($B143&amp;"USD bn", Database!$AD$6:$AD$197, 0))), INDEX(Database!$L$6:$L$197, MATCH($B143&amp;"USD bn", Database!$AD$6:$AD$197, 0)), "")</f>
        <v/>
      </c>
      <c r="G143" s="832"/>
      <c r="H143" s="831" t="str">
        <f>IF(ISNUMBER(INDEX(Database!$P$6:$P$197, MATCH($B143&amp;"USD bn", Database!$AD$6:$AD$197, 0))), INDEX(Database!$P$6:$P$197, MATCH($B143&amp;"USD bn", Database!$AD$6:$AD$197, 0)), "")</f>
        <v/>
      </c>
      <c r="I143" s="837" t="str">
        <f>IF(ISNUMBER(INDEX(Database!$Q$6:$Q$197, MATCH($B143&amp;"USD bn", Database!$AD$6:$AD$197, 0))), INDEX(Database!$Q$6:$Q$197, MATCH($B143&amp;"USD bn", Database!$AD$6:$AD$197, 0)), "")</f>
        <v/>
      </c>
      <c r="J143" s="837"/>
      <c r="K143" s="837" t="str">
        <f>IF(ISNUMBER(INDEX(Database!$U$6:$U$197, MATCH($B143&amp;"USD bn", Database!$AD$6:$AD$197, 0))), INDEX(Database!$U$6:$U$197, MATCH($B143&amp;"USD bn", Database!$AD$6:$AD$197, 0)), "")</f>
        <v/>
      </c>
      <c r="L143" s="837" t="str">
        <f>IF(ISNUMBER(INDEX(Database!$W$6:$W$197, MATCH($B143&amp;"USD bn", Database!$AD$6:$AD$197, 0))), INDEX(Database!$W$6:$W$197, MATCH($B143&amp;"USD bn", Database!$AD$6:$AD$197, 0)), "")</f>
        <v/>
      </c>
      <c r="M143" s="817"/>
      <c r="N143" s="817"/>
      <c r="O143" s="835" t="str">
        <f>IF(ISNUMBER(INDEX(Database!$G$6:$G$197, MATCH($B143&amp;"% GDP", Database!$AD$6:$AD$197, 0))), INDEX(Database!$G$6:$G$197, MATCH($B143&amp;"% GDP", Database!$AD$6:$AD$197, 0)), "")</f>
        <v/>
      </c>
      <c r="P143" s="836" t="str">
        <f>IF(ISNUMBER(INDEX(Database!$H$6:$H$197, MATCH($B143&amp;"% GDP", Database!$AD$6:$AD$197, 0))), INDEX(Database!$H$6:$H$197, MATCH($B143&amp;"% GDP", Database!$AD$6:$AD$197, 0)), "")</f>
        <v/>
      </c>
      <c r="Q143" s="836" t="str">
        <f>IF(ISNUMBER(INDEX(Database!$J$6:$J$197, MATCH($B143&amp;"% GDP", Database!$AD$6:$AD$197, 0))), INDEX(Database!$J$6:$J$197, MATCH($B143&amp;"% GDP", Database!$AD$6:$AD$197, 0)), "")</f>
        <v/>
      </c>
      <c r="R143" s="836" t="str">
        <f>IF(ISNUMBER(INDEX(Database!$L$6:$L$197, MATCH($B143&amp;"% GDP", Database!$AD$6:$AD$197, 0))), INDEX(Database!$L$6:$L$197, MATCH($B143&amp;"% GDP", Database!$AD$6:$AD$197, 0)), "")</f>
        <v/>
      </c>
      <c r="S143" s="836"/>
      <c r="T143" s="835" t="str">
        <f>IF(ISNUMBER(INDEX(Database!$P$6:$P$197, MATCH($B143&amp;"% GDP", Database!$AD$6:$AD$197, 0))), INDEX(Database!$P$6:$P$197, MATCH($B143&amp;"% GDP", Database!$AD$6:$AD$197, 0)), "")</f>
        <v/>
      </c>
      <c r="U143" s="836" t="str">
        <f>IF(ISNUMBER(INDEX(Database!$Q$6:$Q$197, MATCH($B143&amp;"% GDP", Database!$AD$6:$AD$197, 0))), INDEX(Database!$Q$6:$Q$197, MATCH($B143&amp;"% GDP", Database!$AD$6:$AD$197, 0)), "")</f>
        <v/>
      </c>
      <c r="V143" s="836"/>
      <c r="W143" s="836" t="str">
        <f>IF(ISNUMBER(INDEX(Database!$U$6:$U$197, MATCH($B143&amp;"% GDP", Database!$AD$6:$AD$197, 0))), INDEX(Database!$U$6:$U$197, MATCH($B143&amp;"% GDP", Database!$AD$6:$AD$197, 0)), "")</f>
        <v/>
      </c>
      <c r="X143" s="836" t="str">
        <f>IF(ISNUMBER(INDEX(Database!$W$6:$W$197, MATCH($B143&amp;"% GDP", Database!$AD$6:$AD$197, 0))), INDEX(Database!$W$6:$W$197, MATCH($B143&amp;"% GDP", Database!$AD$6:$AD$197, 0)), "")</f>
        <v/>
      </c>
      <c r="AB143" s="565"/>
    </row>
    <row r="144" spans="2:28">
      <c r="B144" s="764" t="s">
        <v>1087</v>
      </c>
      <c r="C144" s="839">
        <v>0.28537573713723607</v>
      </c>
      <c r="D144" s="833">
        <v>8.0424071375039249E-2</v>
      </c>
      <c r="E144" s="833">
        <v>0.20495166576219681</v>
      </c>
      <c r="F144" s="833" t="s">
        <v>452</v>
      </c>
      <c r="G144" s="837"/>
      <c r="H144" s="839" t="s">
        <v>452</v>
      </c>
      <c r="I144" s="833" t="s">
        <v>452</v>
      </c>
      <c r="J144" s="837"/>
      <c r="K144" s="833" t="s">
        <v>452</v>
      </c>
      <c r="L144" s="833" t="s">
        <v>452</v>
      </c>
      <c r="M144" s="817"/>
      <c r="N144" s="817"/>
      <c r="O144" s="839">
        <v>1.5007616577994276</v>
      </c>
      <c r="P144" s="833">
        <v>0.42294192174347506</v>
      </c>
      <c r="Q144" s="833">
        <v>1.0778197360559525</v>
      </c>
      <c r="R144" s="833" t="s">
        <v>452</v>
      </c>
      <c r="S144" s="832"/>
      <c r="T144" s="839" t="s">
        <v>452</v>
      </c>
      <c r="U144" s="833" t="s">
        <v>452</v>
      </c>
      <c r="V144" s="837"/>
      <c r="W144" s="833" t="s">
        <v>452</v>
      </c>
      <c r="X144" s="833" t="s">
        <v>452</v>
      </c>
      <c r="AB144" s="717"/>
    </row>
    <row r="145" spans="2:28">
      <c r="B145" s="764" t="s">
        <v>37</v>
      </c>
      <c r="C145" s="840">
        <f>IF(ISNUMBER(INDEX(Database!$G$6:$G$197, MATCH($B145&amp;"USD bn", Database!$AD$6:$AD$197, 0))), INDEX(Database!$G$6:$G$197, MATCH($B145&amp;"USD bn", Database!$AD$6:$AD$197, 0)), "")</f>
        <v>7.4404955534436894</v>
      </c>
      <c r="D145" s="837">
        <f>IF(ISNUMBER(INDEX(Database!$H$6:$H$197, MATCH($B145&amp;"USD bn", Database!$AD$6:$AD$197, 0))), INDEX(Database!$H$6:$H$197, MATCH($B145&amp;"USD bn", Database!$AD$6:$AD$197, 0)), "")</f>
        <v>2.9836987447040832</v>
      </c>
      <c r="E145" s="837">
        <f>IF(ISNUMBER(INDEX(Database!$J$6:$J$197, MATCH($B145&amp;"USD bn", Database!$AD$6:$AD$197, 0))), INDEX(Database!$J$6:$J$197, MATCH($B145&amp;"USD bn", Database!$AD$6:$AD$197, 0)), "")</f>
        <v>4.4567968087396057</v>
      </c>
      <c r="F145" s="833" t="str">
        <f>IF(ISNUMBER(INDEX(Database!$L$6:$L$197, MATCH($B145&amp;"USD bn", Database!$AD$6:$AD$197, 0))), INDEX(Database!$L$6:$L$197, MATCH($B145&amp;"USD bn", Database!$AD$6:$AD$197, 0)), "")</f>
        <v/>
      </c>
      <c r="G145" s="837"/>
      <c r="H145" s="840">
        <f>IF(ISNUMBER(INDEX(Database!$P$6:$P$197, MATCH($B145&amp;"USD bn", Database!$AD$6:$AD$197, 0))), INDEX(Database!$P$6:$P$197, MATCH($B145&amp;"USD bn", Database!$AD$6:$AD$197, 0)), "")</f>
        <v>0.23586551341534254</v>
      </c>
      <c r="I145" s="837" t="str">
        <f>IF(ISNUMBER(INDEX(Database!$Q$6:$Q$197, MATCH($B145&amp;"USD bn", Database!$AD$6:$AD$197, 0))), INDEX(Database!$Q$6:$Q$197, MATCH($B145&amp;"USD bn", Database!$AD$6:$AD$197, 0)), "")</f>
        <v/>
      </c>
      <c r="J145" s="837"/>
      <c r="K145" s="837">
        <f>IF(ISNUMBER(INDEX(Database!$U$6:$U$197, MATCH($B145&amp;"USD bn", Database!$AD$6:$AD$197, 0))), INDEX(Database!$U$6:$U$197, MATCH($B145&amp;"USD bn", Database!$AD$6:$AD$197, 0)), "")</f>
        <v>0.23586551341534254</v>
      </c>
      <c r="L145" s="837" t="str">
        <f>IF(ISNUMBER(INDEX(Database!$W$6:$W$197, MATCH($B145&amp;"USD bn", Database!$AD$6:$AD$197, 0))), INDEX(Database!$W$6:$W$197, MATCH($B145&amp;"USD bn", Database!$AD$6:$AD$197, 0)), "")</f>
        <v/>
      </c>
      <c r="M145" s="817"/>
      <c r="N145" s="817"/>
      <c r="O145" s="835">
        <f>IF(ISNUMBER(INDEX(Database!$G$6:$G$197, MATCH($B145&amp;"% GDP", Database!$AD$6:$AD$197, 0))), INDEX(Database!$G$6:$G$197, MATCH($B145&amp;"% GDP", Database!$AD$6:$AD$197, 0)), "")</f>
        <v>2.3031524031183657</v>
      </c>
      <c r="P145" s="836">
        <f>IF(ISNUMBER(INDEX(Database!$H$6:$H$197, MATCH($B145&amp;"% GDP", Database!$AD$6:$AD$197, 0))), INDEX(Database!$H$6:$H$197, MATCH($B145&amp;"% GDP", Database!$AD$6:$AD$197, 0)), "")</f>
        <v>0.92358269482009558</v>
      </c>
      <c r="Q145" s="836">
        <f>IF(ISNUMBER(INDEX(Database!$J$6:$J$197, MATCH($B145&amp;"% GDP", Database!$AD$6:$AD$197, 0))), INDEX(Database!$J$6:$J$197, MATCH($B145&amp;"% GDP", Database!$AD$6:$AD$197, 0)), "")</f>
        <v>1.3795697082982701</v>
      </c>
      <c r="R145" s="836" t="str">
        <f>IF(ISNUMBER(INDEX(Database!$L$6:$L$197, MATCH($B145&amp;"% GDP", Database!$AD$6:$AD$197, 0))), INDEX(Database!$L$6:$L$197, MATCH($B145&amp;"% GDP", Database!$AD$6:$AD$197, 0)), "")</f>
        <v/>
      </c>
      <c r="S145" s="836"/>
      <c r="T145" s="835">
        <f>IF(ISNUMBER(INDEX(Database!$P$6:$P$197, MATCH($B145&amp;"% GDP", Database!$AD$6:$AD$197, 0))), INDEX(Database!$P$6:$P$197, MATCH($B145&amp;"% GDP", Database!$AD$6:$AD$197, 0)), "")</f>
        <v>7.3010489709098458E-2</v>
      </c>
      <c r="U145" s="836" t="str">
        <f>IF(ISNUMBER(INDEX(Database!$Q$6:$Q$197, MATCH($B145&amp;"% GDP", Database!$AD$6:$AD$197, 0))), INDEX(Database!$Q$6:$Q$197, MATCH($B145&amp;"% GDP", Database!$AD$6:$AD$197, 0)), "")</f>
        <v/>
      </c>
      <c r="V145" s="836"/>
      <c r="W145" s="836">
        <f>IF(ISNUMBER(INDEX(Database!$U$6:$U$197, MATCH($B145&amp;"% GDP", Database!$AD$6:$AD$197, 0))), INDEX(Database!$U$6:$U$197, MATCH($B145&amp;"% GDP", Database!$AD$6:$AD$197, 0)), "")</f>
        <v>7.3010489709098458E-2</v>
      </c>
      <c r="X145" s="836" t="str">
        <f>IF(ISNUMBER(INDEX(Database!$W$6:$W$197, MATCH($B145&amp;"% GDP", Database!$AD$6:$AD$197, 0))), INDEX(Database!$W$6:$W$197, MATCH($B145&amp;"% GDP", Database!$AD$6:$AD$197, 0)), "")</f>
        <v/>
      </c>
      <c r="AB145" s="562"/>
    </row>
    <row r="146" spans="2:28">
      <c r="B146" s="764" t="s">
        <v>1088</v>
      </c>
      <c r="C146" s="839">
        <v>0.25638093310252558</v>
      </c>
      <c r="D146" s="833">
        <v>7.6914279930757667E-2</v>
      </c>
      <c r="E146" s="833">
        <v>0.17946665317176791</v>
      </c>
      <c r="F146" s="833">
        <v>3.4184124413670074E-2</v>
      </c>
      <c r="G146" s="837"/>
      <c r="H146" s="839" t="s">
        <v>452</v>
      </c>
      <c r="I146" s="833">
        <v>0</v>
      </c>
      <c r="J146" s="837"/>
      <c r="K146" s="833" t="s">
        <v>452</v>
      </c>
      <c r="L146" s="833" t="s">
        <v>452</v>
      </c>
      <c r="M146" s="817"/>
      <c r="N146" s="817"/>
      <c r="O146" s="839">
        <v>1.7066517052075563</v>
      </c>
      <c r="P146" s="833">
        <v>0.51199551156226686</v>
      </c>
      <c r="Q146" s="833">
        <v>1.1946561936452893</v>
      </c>
      <c r="R146" s="833">
        <v>0.22755356069434082</v>
      </c>
      <c r="S146" s="832"/>
      <c r="T146" s="839" t="s">
        <v>452</v>
      </c>
      <c r="U146" s="833">
        <v>0</v>
      </c>
      <c r="V146" s="837"/>
      <c r="W146" s="833" t="s">
        <v>452</v>
      </c>
      <c r="X146" s="833" t="s">
        <v>452</v>
      </c>
      <c r="AB146" s="717"/>
    </row>
    <row r="147" spans="2:28">
      <c r="B147" s="764" t="s">
        <v>1089</v>
      </c>
      <c r="C147" s="839" t="s">
        <v>452</v>
      </c>
      <c r="D147" s="833" t="s">
        <v>452</v>
      </c>
      <c r="E147" s="833" t="s">
        <v>452</v>
      </c>
      <c r="F147" s="833" t="s">
        <v>452</v>
      </c>
      <c r="G147" s="837"/>
      <c r="H147" s="839" t="s">
        <v>452</v>
      </c>
      <c r="I147" s="833" t="s">
        <v>452</v>
      </c>
      <c r="J147" s="837"/>
      <c r="K147" s="833" t="s">
        <v>452</v>
      </c>
      <c r="L147" s="833" t="s">
        <v>452</v>
      </c>
      <c r="M147" s="817"/>
      <c r="N147" s="817"/>
      <c r="O147" s="839" t="s">
        <v>452</v>
      </c>
      <c r="P147" s="833" t="s">
        <v>452</v>
      </c>
      <c r="Q147" s="833" t="s">
        <v>452</v>
      </c>
      <c r="R147" s="833" t="s">
        <v>452</v>
      </c>
      <c r="S147" s="832"/>
      <c r="T147" s="839" t="s">
        <v>452</v>
      </c>
      <c r="U147" s="833" t="s">
        <v>452</v>
      </c>
      <c r="V147" s="837"/>
      <c r="W147" s="833" t="s">
        <v>452</v>
      </c>
      <c r="X147" s="833" t="s">
        <v>452</v>
      </c>
      <c r="AB147" s="717"/>
    </row>
    <row r="148" spans="2:28">
      <c r="B148" s="764" t="s">
        <v>1090</v>
      </c>
      <c r="C148" s="839">
        <v>0.67342725094930167</v>
      </c>
      <c r="D148" s="833">
        <v>0.30423870728166419</v>
      </c>
      <c r="E148" s="833">
        <v>0.36918854366763748</v>
      </c>
      <c r="F148" s="833" t="s">
        <v>452</v>
      </c>
      <c r="G148" s="837"/>
      <c r="H148" s="839" t="s">
        <v>452</v>
      </c>
      <c r="I148" s="833" t="s">
        <v>452</v>
      </c>
      <c r="J148" s="837"/>
      <c r="K148" s="833" t="s">
        <v>452</v>
      </c>
      <c r="L148" s="833" t="s">
        <v>452</v>
      </c>
      <c r="M148" s="817"/>
      <c r="N148" s="817"/>
      <c r="O148" s="839">
        <v>4.1732918313239358</v>
      </c>
      <c r="P148" s="833">
        <v>1.8853958019686816</v>
      </c>
      <c r="Q148" s="833">
        <v>2.2878960293552542</v>
      </c>
      <c r="R148" s="833" t="s">
        <v>452</v>
      </c>
      <c r="S148" s="832"/>
      <c r="T148" s="839" t="s">
        <v>452</v>
      </c>
      <c r="U148" s="833" t="s">
        <v>452</v>
      </c>
      <c r="V148" s="837"/>
      <c r="W148" s="833" t="s">
        <v>452</v>
      </c>
      <c r="X148" s="833" t="s">
        <v>452</v>
      </c>
      <c r="AB148" s="717"/>
    </row>
    <row r="149" spans="2:28">
      <c r="B149" s="764" t="s">
        <v>1091</v>
      </c>
      <c r="C149" s="839">
        <v>8.0325946096432968E-2</v>
      </c>
      <c r="D149" s="833">
        <v>7.437395911119471E-2</v>
      </c>
      <c r="E149" s="833">
        <v>5.9519869852382688E-3</v>
      </c>
      <c r="F149" s="833" t="s">
        <v>452</v>
      </c>
      <c r="G149" s="837"/>
      <c r="H149" s="839" t="s">
        <v>452</v>
      </c>
      <c r="I149" s="833" t="s">
        <v>452</v>
      </c>
      <c r="J149" s="837"/>
      <c r="K149" s="833" t="s">
        <v>452</v>
      </c>
      <c r="L149" s="833" t="s">
        <v>452</v>
      </c>
      <c r="M149" s="817"/>
      <c r="N149" s="817"/>
      <c r="O149" s="839">
        <v>2.6566671496387824</v>
      </c>
      <c r="P149" s="833">
        <v>2.4598135915147745</v>
      </c>
      <c r="Q149" s="833">
        <v>0.19685355812400773</v>
      </c>
      <c r="R149" s="833" t="s">
        <v>452</v>
      </c>
      <c r="S149" s="832"/>
      <c r="T149" s="839" t="s">
        <v>452</v>
      </c>
      <c r="U149" s="833" t="s">
        <v>452</v>
      </c>
      <c r="V149" s="837"/>
      <c r="W149" s="833" t="s">
        <v>452</v>
      </c>
      <c r="X149" s="833" t="s">
        <v>452</v>
      </c>
      <c r="AB149" s="717"/>
    </row>
    <row r="150" spans="2:28">
      <c r="B150" s="764" t="s">
        <v>1092</v>
      </c>
      <c r="C150" s="839">
        <v>5.8408716576144319E-2</v>
      </c>
      <c r="D150" s="833">
        <v>5.8408716576144319E-2</v>
      </c>
      <c r="E150" s="833">
        <v>0</v>
      </c>
      <c r="F150" s="833" t="s">
        <v>452</v>
      </c>
      <c r="G150" s="837"/>
      <c r="H150" s="839" t="s">
        <v>452</v>
      </c>
      <c r="I150" s="833" t="s">
        <v>452</v>
      </c>
      <c r="J150" s="837"/>
      <c r="K150" s="833" t="s">
        <v>452</v>
      </c>
      <c r="L150" s="833" t="s">
        <v>452</v>
      </c>
      <c r="M150" s="817"/>
      <c r="N150" s="817"/>
      <c r="O150" s="839">
        <v>0.22195334607922382</v>
      </c>
      <c r="P150" s="833">
        <v>0.22195334607922382</v>
      </c>
      <c r="Q150" s="833">
        <v>0</v>
      </c>
      <c r="R150" s="833" t="s">
        <v>452</v>
      </c>
      <c r="S150" s="832"/>
      <c r="T150" s="839" t="s">
        <v>452</v>
      </c>
      <c r="U150" s="833" t="s">
        <v>452</v>
      </c>
      <c r="V150" s="837"/>
      <c r="W150" s="833" t="s">
        <v>452</v>
      </c>
      <c r="X150" s="833" t="s">
        <v>452</v>
      </c>
      <c r="AB150" s="717"/>
    </row>
    <row r="151" spans="2:28">
      <c r="B151" s="764" t="s">
        <v>1093</v>
      </c>
      <c r="C151" s="839">
        <v>0.34184124413670136</v>
      </c>
      <c r="D151" s="833">
        <v>0.10033040515412185</v>
      </c>
      <c r="E151" s="833">
        <v>0.24151083898257952</v>
      </c>
      <c r="F151" s="833" t="s">
        <v>452</v>
      </c>
      <c r="G151" s="837"/>
      <c r="H151" s="839" t="s">
        <v>452</v>
      </c>
      <c r="I151" s="833" t="s">
        <v>452</v>
      </c>
      <c r="J151" s="837"/>
      <c r="K151" s="833" t="s">
        <v>452</v>
      </c>
      <c r="L151" s="833" t="s">
        <v>452</v>
      </c>
      <c r="M151" s="817"/>
      <c r="N151" s="817"/>
      <c r="O151" s="839">
        <v>0.89333183295371488</v>
      </c>
      <c r="P151" s="833">
        <v>0.26219289297191534</v>
      </c>
      <c r="Q151" s="833">
        <v>0.6311389399817996</v>
      </c>
      <c r="R151" s="833" t="s">
        <v>452</v>
      </c>
      <c r="S151" s="832"/>
      <c r="T151" s="839" t="s">
        <v>452</v>
      </c>
      <c r="U151" s="833" t="s">
        <v>452</v>
      </c>
      <c r="V151" s="837"/>
      <c r="W151" s="833" t="s">
        <v>452</v>
      </c>
      <c r="X151" s="833" t="s">
        <v>452</v>
      </c>
      <c r="AB151" s="717"/>
    </row>
    <row r="152" spans="2:28">
      <c r="B152" s="764" t="s">
        <v>1094</v>
      </c>
      <c r="C152" s="839">
        <v>2.7005458286799362E-2</v>
      </c>
      <c r="D152" s="833">
        <v>1.7092062206835037E-2</v>
      </c>
      <c r="E152" s="833">
        <v>9.9133960799643248E-3</v>
      </c>
      <c r="F152" s="833" t="s">
        <v>452</v>
      </c>
      <c r="G152" s="837"/>
      <c r="H152" s="839" t="s">
        <v>452</v>
      </c>
      <c r="I152" s="833" t="s">
        <v>452</v>
      </c>
      <c r="J152" s="837"/>
      <c r="K152" s="833" t="s">
        <v>452</v>
      </c>
      <c r="L152" s="833" t="s">
        <v>452</v>
      </c>
      <c r="M152" s="817"/>
      <c r="N152" s="817"/>
      <c r="O152" s="839">
        <v>1.1636439339992679</v>
      </c>
      <c r="P152" s="833">
        <v>0.73648350253118233</v>
      </c>
      <c r="Q152" s="833">
        <v>0.42716043146808558</v>
      </c>
      <c r="R152" s="833" t="s">
        <v>452</v>
      </c>
      <c r="S152" s="832"/>
      <c r="T152" s="839" t="s">
        <v>452</v>
      </c>
      <c r="U152" s="833" t="s">
        <v>452</v>
      </c>
      <c r="V152" s="837"/>
      <c r="W152" s="833" t="s">
        <v>452</v>
      </c>
      <c r="X152" s="833" t="s">
        <v>452</v>
      </c>
      <c r="AB152" s="717"/>
    </row>
    <row r="153" spans="2:28">
      <c r="B153" s="764" t="s">
        <v>1095</v>
      </c>
      <c r="C153" s="839">
        <v>0.5623288466048727</v>
      </c>
      <c r="D153" s="833">
        <v>7.1786661268707155E-2</v>
      </c>
      <c r="E153" s="833">
        <v>0.49054218533616561</v>
      </c>
      <c r="F153" s="833" t="s">
        <v>452</v>
      </c>
      <c r="G153" s="837"/>
      <c r="H153" s="839" t="s">
        <v>452</v>
      </c>
      <c r="I153" s="833" t="s">
        <v>452</v>
      </c>
      <c r="J153" s="837"/>
      <c r="K153" s="833" t="s">
        <v>452</v>
      </c>
      <c r="L153" s="833" t="s">
        <v>452</v>
      </c>
      <c r="M153" s="817"/>
      <c r="N153" s="817"/>
      <c r="O153" s="839">
        <v>5.3503537567146537</v>
      </c>
      <c r="P153" s="833">
        <v>0.68302388383591328</v>
      </c>
      <c r="Q153" s="833">
        <v>4.6673298728787405</v>
      </c>
      <c r="R153" s="833" t="s">
        <v>452</v>
      </c>
      <c r="S153" s="832"/>
      <c r="T153" s="839" t="s">
        <v>452</v>
      </c>
      <c r="U153" s="833" t="s">
        <v>452</v>
      </c>
      <c r="V153" s="837"/>
      <c r="W153" s="833" t="s">
        <v>452</v>
      </c>
      <c r="X153" s="833" t="s">
        <v>452</v>
      </c>
      <c r="AB153" s="717"/>
    </row>
    <row r="154" spans="2:28">
      <c r="B154" s="764" t="s">
        <v>1096</v>
      </c>
      <c r="C154" s="839">
        <v>3.4184124413670157E-2</v>
      </c>
      <c r="D154" s="833">
        <v>2.3700992926811309E-2</v>
      </c>
      <c r="E154" s="833">
        <v>1.0483131486858846E-2</v>
      </c>
      <c r="F154" s="833" t="s">
        <v>452</v>
      </c>
      <c r="G154" s="837"/>
      <c r="H154" s="839" t="s">
        <v>452</v>
      </c>
      <c r="I154" s="833" t="s">
        <v>452</v>
      </c>
      <c r="J154" s="837"/>
      <c r="K154" s="833" t="s">
        <v>452</v>
      </c>
      <c r="L154" s="833" t="s">
        <v>452</v>
      </c>
      <c r="M154" s="817"/>
      <c r="N154" s="817"/>
      <c r="O154" s="839">
        <v>2.8497673010600599</v>
      </c>
      <c r="P154" s="833">
        <v>1.9758386620683084</v>
      </c>
      <c r="Q154" s="833">
        <v>0.87392863899175177</v>
      </c>
      <c r="R154" s="833" t="s">
        <v>452</v>
      </c>
      <c r="S154" s="832"/>
      <c r="T154" s="839" t="s">
        <v>452</v>
      </c>
      <c r="U154" s="833" t="s">
        <v>452</v>
      </c>
      <c r="V154" s="837"/>
      <c r="W154" s="833" t="s">
        <v>452</v>
      </c>
      <c r="X154" s="833" t="s">
        <v>452</v>
      </c>
      <c r="AB154" s="717"/>
    </row>
    <row r="155" spans="2:28">
      <c r="B155" s="764" t="s">
        <v>1098</v>
      </c>
      <c r="C155" s="839">
        <v>0.23074283979227342</v>
      </c>
      <c r="D155" s="833" t="s">
        <v>452</v>
      </c>
      <c r="E155" s="833" t="s">
        <v>452</v>
      </c>
      <c r="F155" s="833" t="s">
        <v>452</v>
      </c>
      <c r="G155" s="837"/>
      <c r="H155" s="839">
        <v>4.273015551708767E-2</v>
      </c>
      <c r="I155" s="833" t="s">
        <v>452</v>
      </c>
      <c r="J155" s="837"/>
      <c r="K155" s="833">
        <v>4.273015551708767E-2</v>
      </c>
      <c r="L155" s="833" t="s">
        <v>452</v>
      </c>
      <c r="M155" s="817"/>
      <c r="N155" s="817"/>
      <c r="O155" s="839">
        <v>2.3157887007100353</v>
      </c>
      <c r="P155" s="833" t="s">
        <v>452</v>
      </c>
      <c r="Q155" s="833" t="s">
        <v>452</v>
      </c>
      <c r="R155" s="833" t="s">
        <v>452</v>
      </c>
      <c r="S155" s="832"/>
      <c r="T155" s="839">
        <v>0.42884975939074732</v>
      </c>
      <c r="U155" s="833" t="s">
        <v>452</v>
      </c>
      <c r="V155" s="837"/>
      <c r="W155" s="833">
        <v>0.42884975939074732</v>
      </c>
      <c r="X155" s="833" t="s">
        <v>452</v>
      </c>
      <c r="AB155" s="717"/>
    </row>
    <row r="156" spans="2:28">
      <c r="B156" s="764" t="s">
        <v>94</v>
      </c>
      <c r="C156" s="839">
        <v>1.1092748372235959</v>
      </c>
      <c r="D156" s="833">
        <v>0.16408379718561666</v>
      </c>
      <c r="E156" s="833">
        <v>0.94519104003797927</v>
      </c>
      <c r="F156" s="833" t="s">
        <v>452</v>
      </c>
      <c r="G156" s="837"/>
      <c r="H156" s="839" t="s">
        <v>452</v>
      </c>
      <c r="I156" s="833" t="s">
        <v>452</v>
      </c>
      <c r="J156" s="837"/>
      <c r="K156" s="833" t="s">
        <v>452</v>
      </c>
      <c r="L156" s="833" t="s">
        <v>452</v>
      </c>
      <c r="M156" s="817"/>
      <c r="N156" s="817"/>
      <c r="O156" s="839">
        <v>1.8390271265072529</v>
      </c>
      <c r="P156" s="833">
        <v>0.27202866586239799</v>
      </c>
      <c r="Q156" s="833">
        <v>1.5669984606448553</v>
      </c>
      <c r="R156" s="833" t="s">
        <v>452</v>
      </c>
      <c r="S156" s="832"/>
      <c r="T156" s="839" t="s">
        <v>452</v>
      </c>
      <c r="U156" s="833" t="s">
        <v>452</v>
      </c>
      <c r="V156" s="837"/>
      <c r="W156" s="833" t="s">
        <v>452</v>
      </c>
      <c r="X156" s="833" t="s">
        <v>452</v>
      </c>
      <c r="AB156" s="717"/>
    </row>
    <row r="157" spans="2:28">
      <c r="B157" s="764" t="s">
        <v>1097</v>
      </c>
      <c r="C157" s="839">
        <v>0.49593826368973154</v>
      </c>
      <c r="D157" s="833">
        <v>8.6518824818146309E-2</v>
      </c>
      <c r="E157" s="833">
        <v>0.40941943887158522</v>
      </c>
      <c r="F157" s="833" t="s">
        <v>452</v>
      </c>
      <c r="G157" s="837"/>
      <c r="H157" s="839" t="s">
        <v>452</v>
      </c>
      <c r="I157" s="833" t="s">
        <v>452</v>
      </c>
      <c r="J157" s="837"/>
      <c r="K157" s="833" t="s">
        <v>452</v>
      </c>
      <c r="L157" s="833" t="s">
        <v>452</v>
      </c>
      <c r="M157" s="817"/>
      <c r="N157" s="817"/>
      <c r="O157" s="839">
        <v>1.076677989256779</v>
      </c>
      <c r="P157" s="833">
        <v>0.1878316741382543</v>
      </c>
      <c r="Q157" s="833">
        <v>0.88884631511852474</v>
      </c>
      <c r="R157" s="833" t="s">
        <v>452</v>
      </c>
      <c r="S157" s="832"/>
      <c r="T157" s="839" t="s">
        <v>452</v>
      </c>
      <c r="U157" s="833" t="s">
        <v>452</v>
      </c>
      <c r="V157" s="837"/>
      <c r="W157" s="833" t="s">
        <v>452</v>
      </c>
      <c r="X157" s="833" t="s">
        <v>452</v>
      </c>
      <c r="AB157" s="717"/>
    </row>
    <row r="158" spans="2:28">
      <c r="B158" s="764" t="s">
        <v>1099</v>
      </c>
      <c r="C158" s="839">
        <v>8.2713916757164316E-2</v>
      </c>
      <c r="D158" s="833">
        <v>2.8133985291552491E-2</v>
      </c>
      <c r="E158" s="833">
        <v>5.4579931465611825E-2</v>
      </c>
      <c r="F158" s="833" t="s">
        <v>452</v>
      </c>
      <c r="G158" s="837"/>
      <c r="H158" s="839" t="s">
        <v>452</v>
      </c>
      <c r="I158" s="833" t="s">
        <v>452</v>
      </c>
      <c r="J158" s="837"/>
      <c r="K158" s="833" t="s">
        <v>452</v>
      </c>
      <c r="L158" s="833" t="s">
        <v>452</v>
      </c>
      <c r="M158" s="817"/>
      <c r="N158" s="817"/>
      <c r="O158" s="839">
        <v>2.4265188904902542</v>
      </c>
      <c r="P158" s="833">
        <v>0.82534656139124296</v>
      </c>
      <c r="Q158" s="833">
        <v>1.6011723290990112</v>
      </c>
      <c r="R158" s="833" t="s">
        <v>452</v>
      </c>
      <c r="S158" s="832"/>
      <c r="T158" s="839" t="s">
        <v>452</v>
      </c>
      <c r="U158" s="833" t="s">
        <v>452</v>
      </c>
      <c r="V158" s="837"/>
      <c r="W158" s="833" t="s">
        <v>452</v>
      </c>
      <c r="X158" s="833" t="s">
        <v>452</v>
      </c>
      <c r="AB158" s="717"/>
    </row>
    <row r="159" spans="2:28">
      <c r="B159" s="764" t="s">
        <v>1100</v>
      </c>
      <c r="C159" s="839" t="s">
        <v>452</v>
      </c>
      <c r="D159" s="833" t="s">
        <v>452</v>
      </c>
      <c r="E159" s="833" t="s">
        <v>452</v>
      </c>
      <c r="F159" s="833" t="s">
        <v>452</v>
      </c>
      <c r="G159" s="837"/>
      <c r="H159" s="839" t="s">
        <v>452</v>
      </c>
      <c r="I159" s="833" t="s">
        <v>452</v>
      </c>
      <c r="J159" s="837"/>
      <c r="K159" s="833" t="s">
        <v>452</v>
      </c>
      <c r="L159" s="833" t="s">
        <v>452</v>
      </c>
      <c r="M159" s="817"/>
      <c r="N159" s="817"/>
      <c r="O159" s="839" t="s">
        <v>452</v>
      </c>
      <c r="P159" s="833" t="s">
        <v>452</v>
      </c>
      <c r="Q159" s="833" t="s">
        <v>452</v>
      </c>
      <c r="R159" s="833" t="s">
        <v>452</v>
      </c>
      <c r="S159" s="832"/>
      <c r="T159" s="839" t="s">
        <v>452</v>
      </c>
      <c r="U159" s="833" t="s">
        <v>452</v>
      </c>
      <c r="V159" s="837"/>
      <c r="W159" s="833" t="s">
        <v>452</v>
      </c>
      <c r="X159" s="833" t="s">
        <v>452</v>
      </c>
      <c r="AB159" s="717"/>
    </row>
    <row r="160" spans="2:28">
      <c r="B160" s="764" t="s">
        <v>548</v>
      </c>
      <c r="C160" s="840">
        <f>IF(ISNUMBER(INDEX(Database!$G$6:$G$197, MATCH($B160&amp;"USD bn", Database!$AD$6:$AD$197, 0))), INDEX(Database!$G$6:$G$197, MATCH($B160&amp;"USD bn", Database!$AD$6:$AD$197, 0)), "")</f>
        <v>2.4164497040512201</v>
      </c>
      <c r="D160" s="837">
        <f>IF(ISNUMBER(INDEX(Database!$H$6:$H$197, MATCH($B160&amp;"USD bn", Database!$AD$6:$AD$197, 0))), INDEX(Database!$H$6:$H$197, MATCH($B160&amp;"USD bn", Database!$AD$6:$AD$197, 0)), "")</f>
        <v>0.60983861014562779</v>
      </c>
      <c r="E160" s="837">
        <f>IF(ISNUMBER(INDEX(Database!$J$6:$J$197, MATCH($B160&amp;"USD bn", Database!$AD$6:$AD$197, 0))), INDEX(Database!$J$6:$J$197, MATCH($B160&amp;"USD bn", Database!$AD$6:$AD$197, 0)), "")</f>
        <v>1.8066110939055922</v>
      </c>
      <c r="F160" s="833" t="str">
        <f>IF(ISNUMBER(INDEX(Database!$L$6:$L$197, MATCH($B160&amp;"USD bn", Database!$AD$6:$AD$197, 0))), INDEX(Database!$L$6:$L$197, MATCH($B160&amp;"USD bn", Database!$AD$6:$AD$197, 0)), "")</f>
        <v/>
      </c>
      <c r="G160" s="837"/>
      <c r="H160" s="840">
        <f>IF(ISNUMBER(INDEX(Database!$P$6:$P$197, MATCH($B160&amp;"USD bn", Database!$AD$6:$AD$197, 0))), INDEX(Database!$P$6:$P$197, MATCH($B160&amp;"USD bn", Database!$AD$6:$AD$197, 0)), "")</f>
        <v>0.60124933394639357</v>
      </c>
      <c r="I160" s="837">
        <f>IF(ISNUMBER(INDEX(Database!$Q$6:$Q$197, MATCH($B160&amp;"USD bn", Database!$AD$6:$AD$197, 0))), INDEX(Database!$Q$6:$Q$197, MATCH($B160&amp;"USD bn", Database!$AD$6:$AD$197, 0)), "")</f>
        <v>0.60124933394639357</v>
      </c>
      <c r="J160" s="837"/>
      <c r="K160" s="837" t="str">
        <f>IF(ISNUMBER(INDEX(Database!$U$6:$U$197, MATCH($B160&amp;"USD bn", Database!$AD$6:$AD$197, 0))), INDEX(Database!$U$6:$U$197, MATCH($B160&amp;"USD bn", Database!$AD$6:$AD$197, 0)), "")</f>
        <v/>
      </c>
      <c r="L160" s="837" t="str">
        <f>IF(ISNUMBER(INDEX(Database!$W$6:$W$197, MATCH($B160&amp;"USD bn", Database!$AD$6:$AD$197, 0))), INDEX(Database!$W$6:$W$197, MATCH($B160&amp;"USD bn", Database!$AD$6:$AD$197, 0)), "")</f>
        <v/>
      </c>
      <c r="M160" s="817"/>
      <c r="N160" s="817"/>
      <c r="O160" s="835">
        <f>IF(ISNUMBER(INDEX(Database!$G$6:$G$197, MATCH($B160&amp;"% GDP", Database!$AD$6:$AD$197, 0))), INDEX(Database!$G$6:$G$197, MATCH($B160&amp;"% GDP", Database!$AD$6:$AD$197, 0)), "")</f>
        <v>2.5012230728926022</v>
      </c>
      <c r="P160" s="836">
        <f>IF(ISNUMBER(INDEX(Database!$H$6:$H$197, MATCH($B160&amp;"% GDP", Database!$AD$6:$AD$197, 0))), INDEX(Database!$H$6:$H$197, MATCH($B160&amp;"% GDP", Database!$AD$6:$AD$197, 0)), "")</f>
        <v>0.63123283711626088</v>
      </c>
      <c r="Q160" s="836">
        <f>IF(ISNUMBER(INDEX(Database!$J$6:$J$197, MATCH($B160&amp;"% GDP", Database!$AD$6:$AD$197, 0))), INDEX(Database!$J$6:$J$197, MATCH($B160&amp;"% GDP", Database!$AD$6:$AD$197, 0)), "")</f>
        <v>1.8699902357763409</v>
      </c>
      <c r="R160" s="836" t="str">
        <f>IF(ISNUMBER(INDEX(Database!$L$6:$L$197, MATCH($B160&amp;"% GDP", Database!$AD$6:$AD$197, 0))), INDEX(Database!$L$6:$L$197, MATCH($B160&amp;"% GDP", Database!$AD$6:$AD$197, 0)), "")</f>
        <v/>
      </c>
      <c r="S160" s="836"/>
      <c r="T160" s="835">
        <f>IF(ISNUMBER(INDEX(Database!$P$6:$P$197, MATCH($B160&amp;"% GDP", Database!$AD$6:$AD$197, 0))), INDEX(Database!$P$6:$P$197, MATCH($B160&amp;"% GDP", Database!$AD$6:$AD$197, 0)), "")</f>
        <v>0.62234223377659526</v>
      </c>
      <c r="U160" s="836">
        <f>IF(ISNUMBER(INDEX(Database!$Q$6:$Q$197, MATCH($B160&amp;"% GDP", Database!$AD$6:$AD$197, 0))), INDEX(Database!$Q$6:$Q$197, MATCH($B160&amp;"% GDP", Database!$AD$6:$AD$197, 0)), "")</f>
        <v>0.62234223377659526</v>
      </c>
      <c r="V160" s="836"/>
      <c r="W160" s="836" t="str">
        <f>IF(ISNUMBER(INDEX(Database!$U$6:$U$197, MATCH($B160&amp;"% GDP", Database!$AD$6:$AD$197, 0))), INDEX(Database!$U$6:$U$197, MATCH($B160&amp;"% GDP", Database!$AD$6:$AD$197, 0)), "")</f>
        <v/>
      </c>
      <c r="X160" s="836" t="str">
        <f>IF(ISNUMBER(INDEX(Database!$W$6:$W$197, MATCH($B160&amp;"% GDP", Database!$AD$6:$AD$197, 0))), INDEX(Database!$W$6:$W$197, MATCH($B160&amp;"% GDP", Database!$AD$6:$AD$197, 0)), "")</f>
        <v/>
      </c>
      <c r="AB160" s="562"/>
    </row>
    <row r="161" spans="2:28">
      <c r="B161" s="764" t="s">
        <v>1101</v>
      </c>
      <c r="C161" s="839">
        <v>9.5898252335767705E-3</v>
      </c>
      <c r="D161" s="833">
        <v>9.5898252335767705E-3</v>
      </c>
      <c r="E161" s="833">
        <v>0</v>
      </c>
      <c r="F161" s="833" t="s">
        <v>452</v>
      </c>
      <c r="G161" s="837"/>
      <c r="H161" s="839" t="s">
        <v>452</v>
      </c>
      <c r="I161" s="833" t="s">
        <v>452</v>
      </c>
      <c r="J161" s="837"/>
      <c r="K161" s="833" t="s">
        <v>452</v>
      </c>
      <c r="L161" s="833" t="s">
        <v>452</v>
      </c>
      <c r="M161" s="817"/>
      <c r="N161" s="817"/>
      <c r="O161" s="839">
        <v>0.53110030908457828</v>
      </c>
      <c r="P161" s="833">
        <v>0.53110030908457828</v>
      </c>
      <c r="Q161" s="833">
        <v>0</v>
      </c>
      <c r="R161" s="833" t="s">
        <v>452</v>
      </c>
      <c r="S161" s="832"/>
      <c r="T161" s="839" t="s">
        <v>452</v>
      </c>
      <c r="U161" s="833" t="s">
        <v>452</v>
      </c>
      <c r="V161" s="837"/>
      <c r="W161" s="833" t="s">
        <v>452</v>
      </c>
      <c r="X161" s="833" t="s">
        <v>452</v>
      </c>
      <c r="AB161" s="717"/>
    </row>
    <row r="162" spans="2:28">
      <c r="B162" s="764" t="s">
        <v>550</v>
      </c>
      <c r="C162" s="840">
        <f>IF(ISNUMBER(INDEX(Database!$G$6:$G$197, MATCH($B162&amp;"USD bn", Database!$AD$6:$AD$197, 0))), INDEX(Database!$G$6:$G$197, MATCH($B162&amp;"USD bn", Database!$AD$6:$AD$197, 0)), "")</f>
        <v>2.2327431550550991</v>
      </c>
      <c r="D162" s="837">
        <f>IF(ISNUMBER(INDEX(Database!$H$6:$H$197, MATCH($B162&amp;"USD bn", Database!$AD$6:$AD$197, 0))), INDEX(Database!$H$6:$H$197, MATCH($B162&amp;"USD bn", Database!$AD$6:$AD$197, 0)), "")</f>
        <v>0.75020170009851339</v>
      </c>
      <c r="E162" s="837">
        <f>IF(ISNUMBER(INDEX(Database!$J$6:$J$197, MATCH($B162&amp;"USD bn", Database!$AD$6:$AD$197, 0))), INDEX(Database!$J$6:$J$197, MATCH($B162&amp;"USD bn", Database!$AD$6:$AD$197, 0)), "")</f>
        <v>1.4825414549565861</v>
      </c>
      <c r="F162" s="833" t="str">
        <f>IF(ISNUMBER(INDEX(Database!$L$6:$L$197, MATCH($B162&amp;"USD bn", Database!$AD$6:$AD$197, 0))), INDEX(Database!$L$6:$L$197, MATCH($B162&amp;"USD bn", Database!$AD$6:$AD$197, 0)), "")</f>
        <v/>
      </c>
      <c r="G162" s="837"/>
      <c r="H162" s="840">
        <f>IF(ISNUMBER(INDEX(Database!$P$6:$P$197, MATCH($B162&amp;"USD bn", Database!$AD$6:$AD$197, 0))), INDEX(Database!$P$6:$P$197, MATCH($B162&amp;"USD bn", Database!$AD$6:$AD$197, 0)), "")</f>
        <v>0.21434334288528953</v>
      </c>
      <c r="I162" s="837">
        <f>IF(ISNUMBER(INDEX(Database!$Q$6:$Q$197, MATCH($B162&amp;"USD bn", Database!$AD$6:$AD$197, 0))), INDEX(Database!$Q$6:$Q$197, MATCH($B162&amp;"USD bn", Database!$AD$6:$AD$197, 0)), "")</f>
        <v>0.21434334288528953</v>
      </c>
      <c r="J162" s="837"/>
      <c r="K162" s="837" t="str">
        <f>IF(ISNUMBER(INDEX(Database!$U$6:$U$197, MATCH($B162&amp;"USD bn", Database!$AD$6:$AD$197, 0))), INDEX(Database!$U$6:$U$197, MATCH($B162&amp;"USD bn", Database!$AD$6:$AD$197, 0)), "")</f>
        <v/>
      </c>
      <c r="L162" s="837" t="str">
        <f>IF(ISNUMBER(INDEX(Database!$W$6:$W$197, MATCH($B162&amp;"USD bn", Database!$AD$6:$AD$197, 0))), INDEX(Database!$W$6:$W$197, MATCH($B162&amp;"USD bn", Database!$AD$6:$AD$197, 0)), "")</f>
        <v/>
      </c>
      <c r="M162" s="817"/>
      <c r="N162" s="817"/>
      <c r="O162" s="835">
        <f>IF(ISNUMBER(INDEX(Database!$G$6:$G$197, MATCH($B162&amp;"% GDP", Database!$AD$6:$AD$197, 0))), INDEX(Database!$G$6:$G$197, MATCH($B162&amp;"% GDP", Database!$AD$6:$AD$197, 0)), "")</f>
        <v>3.2595714054750369</v>
      </c>
      <c r="P162" s="836">
        <f>IF(ISNUMBER(INDEX(Database!$H$6:$H$197, MATCH($B162&amp;"% GDP", Database!$AD$6:$AD$197, 0))), INDEX(Database!$H$6:$H$197, MATCH($B162&amp;"% GDP", Database!$AD$6:$AD$197, 0)), "")</f>
        <v>1.0952159922396125</v>
      </c>
      <c r="Q162" s="836">
        <f>IF(ISNUMBER(INDEX(Database!$J$6:$J$197, MATCH($B162&amp;"% GDP", Database!$AD$6:$AD$197, 0))), INDEX(Database!$J$6:$J$197, MATCH($B162&amp;"% GDP", Database!$AD$6:$AD$197, 0)), "")</f>
        <v>2.164355413235425</v>
      </c>
      <c r="R162" s="836" t="str">
        <f>IF(ISNUMBER(INDEX(Database!$L$6:$L$197, MATCH($B162&amp;"% GDP", Database!$AD$6:$AD$197, 0))), INDEX(Database!$L$6:$L$197, MATCH($B162&amp;"% GDP", Database!$AD$6:$AD$197, 0)), "")</f>
        <v/>
      </c>
      <c r="S162" s="836"/>
      <c r="T162" s="835">
        <f>IF(ISNUMBER(INDEX(Database!$P$6:$P$197, MATCH($B162&amp;"% GDP", Database!$AD$6:$AD$197, 0))), INDEX(Database!$P$6:$P$197, MATCH($B162&amp;"% GDP", Database!$AD$6:$AD$197, 0)), "")</f>
        <v>0.31291885492560356</v>
      </c>
      <c r="U162" s="836">
        <f>IF(ISNUMBER(INDEX(Database!$Q$6:$Q$197, MATCH($B162&amp;"% GDP", Database!$AD$6:$AD$197, 0))), INDEX(Database!$Q$6:$Q$197, MATCH($B162&amp;"% GDP", Database!$AD$6:$AD$197, 0)), "")</f>
        <v>0.31291885492560356</v>
      </c>
      <c r="V162" s="836"/>
      <c r="W162" s="836" t="str">
        <f>IF(ISNUMBER(INDEX(Database!$U$6:$U$197, MATCH($B162&amp;"% GDP", Database!$AD$6:$AD$197, 0))), INDEX(Database!$U$6:$U$197, MATCH($B162&amp;"% GDP", Database!$AD$6:$AD$197, 0)), "")</f>
        <v/>
      </c>
      <c r="X162" s="836" t="str">
        <f>IF(ISNUMBER(INDEX(Database!$W$6:$W$197, MATCH($B162&amp;"% GDP", Database!$AD$6:$AD$197, 0))), INDEX(Database!$W$6:$W$197, MATCH($B162&amp;"% GDP", Database!$AD$6:$AD$197, 0)), "")</f>
        <v/>
      </c>
      <c r="AB162" s="562"/>
    </row>
    <row r="163" spans="2:28">
      <c r="B163" s="764" t="s">
        <v>1102</v>
      </c>
      <c r="C163" s="839">
        <v>0.20278489178267939</v>
      </c>
      <c r="D163" s="833">
        <v>0.12763399533149508</v>
      </c>
      <c r="E163" s="833">
        <v>7.5150896451184307E-2</v>
      </c>
      <c r="F163" s="833" t="s">
        <v>452</v>
      </c>
      <c r="G163" s="837"/>
      <c r="H163" s="839">
        <v>7.1475037385637244E-3</v>
      </c>
      <c r="I163" s="833" t="s">
        <v>452</v>
      </c>
      <c r="J163" s="837"/>
      <c r="K163" s="833">
        <v>7.1475037385637244E-3</v>
      </c>
      <c r="L163" s="833" t="s">
        <v>452</v>
      </c>
      <c r="M163" s="817"/>
      <c r="N163" s="817"/>
      <c r="O163" s="839">
        <v>1.424205631090101</v>
      </c>
      <c r="P163" s="833">
        <v>0.8964033428311311</v>
      </c>
      <c r="Q163" s="833">
        <v>0.52780228825896991</v>
      </c>
      <c r="R163" s="833" t="s">
        <v>452</v>
      </c>
      <c r="S163" s="832"/>
      <c r="T163" s="839">
        <v>5.0198587198543344E-2</v>
      </c>
      <c r="U163" s="833" t="s">
        <v>452</v>
      </c>
      <c r="V163" s="837"/>
      <c r="W163" s="833">
        <v>5.0198587198543344E-2</v>
      </c>
      <c r="X163" s="833" t="s">
        <v>452</v>
      </c>
      <c r="AB163" s="717"/>
    </row>
    <row r="164" spans="2:28">
      <c r="B164" s="764" t="s">
        <v>566</v>
      </c>
      <c r="C164" s="840">
        <f>IF(ISNUMBER(INDEX(Database!$G$6:$G$197, MATCH($B164&amp;"USD bn", Database!$AD$6:$AD$197, 0))), INDEX(Database!$G$6:$G$197, MATCH($B164&amp;"USD bn", Database!$AD$6:$AD$197, 0)), "")</f>
        <v>9.6093184602259421E-2</v>
      </c>
      <c r="D164" s="837">
        <f>IF(ISNUMBER(INDEX(Database!$H$6:$H$197, MATCH($B164&amp;"USD bn", Database!$AD$6:$AD$197, 0))), INDEX(Database!$H$6:$H$197, MATCH($B164&amp;"USD bn", Database!$AD$6:$AD$197, 0)), "")</f>
        <v>8.4557826754839902E-2</v>
      </c>
      <c r="E164" s="837">
        <f>IF(ISNUMBER(INDEX(Database!$J$6:$J$197, MATCH($B164&amp;"USD bn", Database!$AD$6:$AD$197, 0))), INDEX(Database!$J$6:$J$197, MATCH($B164&amp;"USD bn", Database!$AD$6:$AD$197, 0)), "")</f>
        <v>1.1535357847419518E-2</v>
      </c>
      <c r="F164" s="833" t="str">
        <f>IF(ISNUMBER(INDEX(Database!$L$6:$L$197, MATCH($B164&amp;"USD bn", Database!$AD$6:$AD$197, 0))), INDEX(Database!$L$6:$L$197, MATCH($B164&amp;"USD bn", Database!$AD$6:$AD$197, 0)), "")</f>
        <v/>
      </c>
      <c r="G164" s="837"/>
      <c r="H164" s="840">
        <f>IF(ISNUMBER(INDEX(Database!$P$6:$P$197, MATCH($B164&amp;"USD bn", Database!$AD$6:$AD$197, 0))), INDEX(Database!$P$6:$P$197, MATCH($B164&amp;"USD bn", Database!$AD$6:$AD$197, 0)), "")</f>
        <v>2.609809467741972E-2</v>
      </c>
      <c r="I164" s="837">
        <f>IF(ISNUMBER(INDEX(Database!$Q$6:$Q$197, MATCH($B164&amp;"USD bn", Database!$AD$6:$AD$197, 0))), INDEX(Database!$Q$6:$Q$197, MATCH($B164&amp;"USD bn", Database!$AD$6:$AD$197, 0)), "")</f>
        <v>2.609809467741972E-2</v>
      </c>
      <c r="J164" s="837"/>
      <c r="K164" s="837" t="str">
        <f>IF(ISNUMBER(INDEX(Database!$U$6:$U$197, MATCH($B164&amp;"USD bn", Database!$AD$6:$AD$197, 0))), INDEX(Database!$U$6:$U$197, MATCH($B164&amp;"USD bn", Database!$AD$6:$AD$197, 0)), "")</f>
        <v/>
      </c>
      <c r="L164" s="837" t="str">
        <f>IF(ISNUMBER(INDEX(Database!$W$6:$W$197, MATCH($B164&amp;"USD bn", Database!$AD$6:$AD$197, 0))), INDEX(Database!$W$6:$W$197, MATCH($B164&amp;"USD bn", Database!$AD$6:$AD$197, 0)), "")</f>
        <v/>
      </c>
      <c r="M164" s="817"/>
      <c r="N164" s="817"/>
      <c r="O164" s="835">
        <f>IF(ISNUMBER(INDEX(Database!$G$6:$G$197, MATCH($B164&amp;"% GDP", Database!$AD$6:$AD$197, 0))), INDEX(Database!$G$6:$G$197, MATCH($B164&amp;"% GDP", Database!$AD$6:$AD$197, 0)), "")</f>
        <v>6.702226729381966</v>
      </c>
      <c r="P164" s="836">
        <f>IF(ISNUMBER(INDEX(Database!$H$6:$H$197, MATCH($B164&amp;"% GDP", Database!$AD$6:$AD$197, 0))), INDEX(Database!$H$6:$H$197, MATCH($B164&amp;"% GDP", Database!$AD$6:$AD$197, 0)), "")</f>
        <v>5.8976682789781556</v>
      </c>
      <c r="Q164" s="836">
        <f>IF(ISNUMBER(INDEX(Database!$J$6:$J$197, MATCH($B164&amp;"% GDP", Database!$AD$6:$AD$197, 0))), INDEX(Database!$J$6:$J$197, MATCH($B164&amp;"% GDP", Database!$AD$6:$AD$197, 0)), "")</f>
        <v>0.80455845040381013</v>
      </c>
      <c r="R164" s="836" t="str">
        <f>IF(ISNUMBER(INDEX(Database!$L$6:$L$197, MATCH($B164&amp;"% GDP", Database!$AD$6:$AD$197, 0))), INDEX(Database!$L$6:$L$197, MATCH($B164&amp;"% GDP", Database!$AD$6:$AD$197, 0)), "")</f>
        <v/>
      </c>
      <c r="S164" s="836"/>
      <c r="T164" s="835">
        <f>IF(ISNUMBER(INDEX(Database!$P$6:$P$197, MATCH($B164&amp;"% GDP", Database!$AD$6:$AD$197, 0))), INDEX(Database!$P$6:$P$197, MATCH($B164&amp;"% GDP", Database!$AD$6:$AD$197, 0)), "")</f>
        <v>1.8202679873389367</v>
      </c>
      <c r="U164" s="836">
        <f>IF(ISNUMBER(INDEX(Database!$Q$6:$Q$197, MATCH($B164&amp;"% GDP", Database!$AD$6:$AD$197, 0))), INDEX(Database!$Q$6:$Q$197, MATCH($B164&amp;"% GDP", Database!$AD$6:$AD$197, 0)), "")</f>
        <v>1.8202679873389367</v>
      </c>
      <c r="V164" s="836"/>
      <c r="W164" s="836" t="str">
        <f>IF(ISNUMBER(INDEX(Database!$U$6:$U$197, MATCH($B164&amp;"% GDP", Database!$AD$6:$AD$197, 0))), INDEX(Database!$U$6:$U$197, MATCH($B164&amp;"% GDP", Database!$AD$6:$AD$197, 0)), "")</f>
        <v/>
      </c>
      <c r="X164" s="836" t="str">
        <f>IF(ISNUMBER(INDEX(Database!$W$6:$W$197, MATCH($B164&amp;"% GDP", Database!$AD$6:$AD$197, 0))), INDEX(Database!$W$6:$W$197, MATCH($B164&amp;"% GDP", Database!$AD$6:$AD$197, 0)), "")</f>
        <v/>
      </c>
      <c r="AB164" s="562"/>
    </row>
    <row r="165" spans="2:28">
      <c r="B165" s="764" t="s">
        <v>1103</v>
      </c>
      <c r="C165" s="839">
        <v>0.12974106614115102</v>
      </c>
      <c r="D165" s="833">
        <v>3.7753308758946461E-2</v>
      </c>
      <c r="E165" s="833">
        <v>9.1987757382204563E-2</v>
      </c>
      <c r="F165" s="833" t="s">
        <v>452</v>
      </c>
      <c r="G165" s="837"/>
      <c r="H165" s="839" t="s">
        <v>452</v>
      </c>
      <c r="I165" s="833" t="s">
        <v>452</v>
      </c>
      <c r="J165" s="837"/>
      <c r="K165" s="833" t="s">
        <v>452</v>
      </c>
      <c r="L165" s="833" t="s">
        <v>452</v>
      </c>
      <c r="M165" s="817"/>
      <c r="N165" s="817"/>
      <c r="O165" s="839">
        <v>1.5772108885728484</v>
      </c>
      <c r="P165" s="833">
        <v>0.45895206063345811</v>
      </c>
      <c r="Q165" s="833">
        <v>1.1182588279393901</v>
      </c>
      <c r="R165" s="833" t="s">
        <v>452</v>
      </c>
      <c r="S165" s="832"/>
      <c r="T165" s="839" t="s">
        <v>452</v>
      </c>
      <c r="U165" s="833" t="s">
        <v>452</v>
      </c>
      <c r="V165" s="837"/>
      <c r="W165" s="833" t="s">
        <v>452</v>
      </c>
      <c r="X165" s="833" t="s">
        <v>452</v>
      </c>
      <c r="AB165" s="717"/>
    </row>
    <row r="166" spans="2:28">
      <c r="B166" s="764" t="s">
        <v>38</v>
      </c>
      <c r="C166" s="840">
        <f>IF(ISNUMBER(INDEX(Database!$G$6:$G$197, MATCH($B166&amp;"USD bn", Database!$AD$6:$AD$197, 0))), INDEX(Database!$G$6:$G$197, MATCH($B166&amp;"USD bn", Database!$AD$6:$AD$197, 0)), "")</f>
        <v>0.81767544130184866</v>
      </c>
      <c r="D166" s="837">
        <f>IF(ISNUMBER(INDEX(Database!$H$6:$H$197, MATCH($B166&amp;"USD bn", Database!$AD$6:$AD$197, 0))), INDEX(Database!$H$6:$H$197, MATCH($B166&amp;"USD bn", Database!$AD$6:$AD$197, 0)), "")</f>
        <v>0.51664070171808341</v>
      </c>
      <c r="E166" s="837">
        <f>IF(ISNUMBER(INDEX(Database!$J$6:$J$197, MATCH($B166&amp;"USD bn", Database!$AD$6:$AD$197, 0))), INDEX(Database!$J$6:$J$197, MATCH($B166&amp;"USD bn", Database!$AD$6:$AD$197, 0)), "")</f>
        <v>0.3010347395837652</v>
      </c>
      <c r="F166" s="833" t="str">
        <f>IF(ISNUMBER(INDEX(Database!$L$6:$L$197, MATCH($B166&amp;"USD bn", Database!$AD$6:$AD$197, 0))), INDEX(Database!$L$6:$L$197, MATCH($B166&amp;"USD bn", Database!$AD$6:$AD$197, 0)), "")</f>
        <v/>
      </c>
      <c r="G166" s="837"/>
      <c r="H166" s="840">
        <f>IF(ISNUMBER(INDEX(Database!$P$6:$P$197, MATCH($B166&amp;"USD bn", Database!$AD$6:$AD$197, 0))), INDEX(Database!$P$6:$P$197, MATCH($B166&amp;"USD bn", Database!$AD$6:$AD$197, 0)), "")</f>
        <v>0.27967754522140348</v>
      </c>
      <c r="I166" s="837" t="str">
        <f>IF(ISNUMBER(INDEX(Database!$Q$6:$Q$197, MATCH($B166&amp;"USD bn", Database!$AD$6:$AD$197, 0))), INDEX(Database!$Q$6:$Q$197, MATCH($B166&amp;"USD bn", Database!$AD$6:$AD$197, 0)), "")</f>
        <v/>
      </c>
      <c r="J166" s="837"/>
      <c r="K166" s="837">
        <f>IF(ISNUMBER(INDEX(Database!$U$6:$U$197, MATCH($B166&amp;"USD bn", Database!$AD$6:$AD$197, 0))), INDEX(Database!$U$6:$U$197, MATCH($B166&amp;"USD bn", Database!$AD$6:$AD$197, 0)), "")</f>
        <v>0.27967754522140348</v>
      </c>
      <c r="L166" s="837">
        <f>IF(ISNUMBER(INDEX(Database!$W$6:$W$197, MATCH($B166&amp;"USD bn", Database!$AD$6:$AD$197, 0))), INDEX(Database!$W$6:$W$197, MATCH($B166&amp;"USD bn", Database!$AD$6:$AD$197, 0)), "")</f>
        <v>0</v>
      </c>
      <c r="M166" s="817"/>
      <c r="N166" s="817"/>
      <c r="O166" s="835">
        <f>IF(ISNUMBER(INDEX(Database!$G$6:$G$197, MATCH($B166&amp;"% GDP", Database!$AD$6:$AD$197, 0))), INDEX(Database!$G$6:$G$197, MATCH($B166&amp;"% GDP", Database!$AD$6:$AD$197, 0)), "")</f>
        <v>3.43159415816337</v>
      </c>
      <c r="P166" s="836">
        <f>IF(ISNUMBER(INDEX(Database!$H$6:$H$197, MATCH($B166&amp;"% GDP", Database!$AD$6:$AD$197, 0))), INDEX(Database!$H$6:$H$197, MATCH($B166&amp;"% GDP", Database!$AD$6:$AD$197, 0)), "")</f>
        <v>2.1682211845111836</v>
      </c>
      <c r="Q166" s="836">
        <f>IF(ISNUMBER(INDEX(Database!$J$6:$J$197, MATCH($B166&amp;"% GDP", Database!$AD$6:$AD$197, 0))), INDEX(Database!$J$6:$J$197, MATCH($B166&amp;"% GDP", Database!$AD$6:$AD$197, 0)), "")</f>
        <v>1.2633729736521859</v>
      </c>
      <c r="R166" s="836" t="str">
        <f>IF(ISNUMBER(INDEX(Database!$L$6:$L$197, MATCH($B166&amp;"% GDP", Database!$AD$6:$AD$197, 0))), INDEX(Database!$L$6:$L$197, MATCH($B166&amp;"% GDP", Database!$AD$6:$AD$197, 0)), "")</f>
        <v/>
      </c>
      <c r="S166" s="836"/>
      <c r="T166" s="835">
        <f>IF(ISNUMBER(INDEX(Database!$P$6:$P$197, MATCH($B166&amp;"% GDP", Database!$AD$6:$AD$197, 0))), INDEX(Database!$P$6:$P$197, MATCH($B166&amp;"% GDP", Database!$AD$6:$AD$197, 0)), "")</f>
        <v>1.173741782953889</v>
      </c>
      <c r="U166" s="836" t="str">
        <f>IF(ISNUMBER(INDEX(Database!$Q$6:$Q$197, MATCH($B166&amp;"% GDP", Database!$AD$6:$AD$197, 0))), INDEX(Database!$Q$6:$Q$197, MATCH($B166&amp;"% GDP", Database!$AD$6:$AD$197, 0)), "")</f>
        <v/>
      </c>
      <c r="V166" s="836"/>
      <c r="W166" s="836">
        <f>IF(ISNUMBER(INDEX(Database!$U$6:$U$197, MATCH($B166&amp;"% GDP", Database!$AD$6:$AD$197, 0))), INDEX(Database!$U$6:$U$197, MATCH($B166&amp;"% GDP", Database!$AD$6:$AD$197, 0)), "")</f>
        <v>1.173741782953889</v>
      </c>
      <c r="X166" s="836">
        <f>IF(ISNUMBER(INDEX(Database!$W$6:$W$197, MATCH($B166&amp;"% GDP", Database!$AD$6:$AD$197, 0))), INDEX(Database!$W$6:$W$197, MATCH($B166&amp;"% GDP", Database!$AD$6:$AD$197, 0)), "")</f>
        <v>0</v>
      </c>
      <c r="AB166" s="562"/>
    </row>
    <row r="167" spans="2:28">
      <c r="B167" s="764" t="s">
        <v>552</v>
      </c>
      <c r="C167" s="840">
        <f>IF(ISNUMBER(INDEX(Database!$G$6:$G$197, MATCH($B167&amp;"USD bn", Database!$AD$6:$AD$197, 0))), INDEX(Database!$G$6:$G$197, MATCH($B167&amp;"USD bn", Database!$AD$6:$AD$197, 0)), "")</f>
        <v>2.5109136596508708</v>
      </c>
      <c r="D167" s="837">
        <f>IF(ISNUMBER(INDEX(Database!$H$6:$H$197, MATCH($B167&amp;"USD bn", Database!$AD$6:$AD$197, 0))), INDEX(Database!$H$6:$H$197, MATCH($B167&amp;"USD bn", Database!$AD$6:$AD$197, 0)), "")</f>
        <v>0.20575013296076938</v>
      </c>
      <c r="E167" s="837">
        <f>IF(ISNUMBER(INDEX(Database!$J$6:$J$197, MATCH($B167&amp;"USD bn", Database!$AD$6:$AD$197, 0))), INDEX(Database!$J$6:$J$197, MATCH($B167&amp;"USD bn", Database!$AD$6:$AD$197, 0)), "")</f>
        <v>2.3051635266901012</v>
      </c>
      <c r="F167" s="833">
        <f>IF(ISNUMBER(INDEX(Database!$L$6:$L$197, MATCH($B167&amp;"USD bn", Database!$AD$6:$AD$197, 0))), INDEX(Database!$L$6:$L$197, MATCH($B167&amp;"USD bn", Database!$AD$6:$AD$197, 0)), "")</f>
        <v>0.3143404809122865</v>
      </c>
      <c r="G167" s="837"/>
      <c r="H167" s="840" t="str">
        <f>IF(ISNUMBER(INDEX(Database!$P$6:$P$197, MATCH($B167&amp;"USD bn", Database!$AD$6:$AD$197, 0))), INDEX(Database!$P$6:$P$197, MATCH($B167&amp;"USD bn", Database!$AD$6:$AD$197, 0)), "")</f>
        <v/>
      </c>
      <c r="I167" s="837" t="str">
        <f>IF(ISNUMBER(INDEX(Database!$Q$6:$Q$197, MATCH($B167&amp;"USD bn", Database!$AD$6:$AD$197, 0))), INDEX(Database!$Q$6:$Q$197, MATCH($B167&amp;"USD bn", Database!$AD$6:$AD$197, 0)), "")</f>
        <v/>
      </c>
      <c r="J167" s="837"/>
      <c r="K167" s="837" t="str">
        <f>IF(ISNUMBER(INDEX(Database!$U$6:$U$197, MATCH($B167&amp;"USD bn", Database!$AD$6:$AD$197, 0))), INDEX(Database!$U$6:$U$197, MATCH($B167&amp;"USD bn", Database!$AD$6:$AD$197, 0)), "")</f>
        <v/>
      </c>
      <c r="L167" s="837" t="str">
        <f>IF(ISNUMBER(INDEX(Database!$W$6:$W$197, MATCH($B167&amp;"USD bn", Database!$AD$6:$AD$197, 0))), INDEX(Database!$W$6:$W$197, MATCH($B167&amp;"USD bn", Database!$AD$6:$AD$197, 0)), "")</f>
        <v/>
      </c>
      <c r="M167" s="817"/>
      <c r="N167" s="817"/>
      <c r="O167" s="835">
        <f>IF(ISNUMBER(INDEX(Database!$G$6:$G$197, MATCH($B167&amp;"% GDP", Database!$AD$6:$AD$197, 0))), INDEX(Database!$G$6:$G$197, MATCH($B167&amp;"% GDP", Database!$AD$6:$AD$197, 0)), "")</f>
        <v>2.4514108377373729</v>
      </c>
      <c r="P167" s="836">
        <f>IF(ISNUMBER(INDEX(Database!$H$6:$H$197, MATCH($B167&amp;"% GDP", Database!$AD$6:$AD$197, 0))), INDEX(Database!$H$6:$H$197, MATCH($B167&amp;"% GDP", Database!$AD$6:$AD$197, 0)), "")</f>
        <v>0.20087433268257682</v>
      </c>
      <c r="Q167" s="836">
        <f>IF(ISNUMBER(INDEX(Database!$J$6:$J$197, MATCH($B167&amp;"% GDP", Database!$AD$6:$AD$197, 0))), INDEX(Database!$J$6:$J$197, MATCH($B167&amp;"% GDP", Database!$AD$6:$AD$197, 0)), "")</f>
        <v>2.2505365050547956</v>
      </c>
      <c r="R167" s="836">
        <f>IF(ISNUMBER(INDEX(Database!$L$6:$L$197, MATCH($B167&amp;"% GDP", Database!$AD$6:$AD$197, 0))), INDEX(Database!$L$6:$L$197, MATCH($B167&amp;"% GDP", Database!$AD$6:$AD$197, 0)), "")</f>
        <v>0.30689134159838122</v>
      </c>
      <c r="S167" s="836"/>
      <c r="T167" s="835" t="str">
        <f>IF(ISNUMBER(INDEX(Database!$P$6:$P$197, MATCH($B167&amp;"% GDP", Database!$AD$6:$AD$197, 0))), INDEX(Database!$P$6:$P$197, MATCH($B167&amp;"% GDP", Database!$AD$6:$AD$197, 0)), "")</f>
        <v/>
      </c>
      <c r="U167" s="836" t="str">
        <f>IF(ISNUMBER(INDEX(Database!$Q$6:$Q$197, MATCH($B167&amp;"% GDP", Database!$AD$6:$AD$197, 0))), INDEX(Database!$Q$6:$Q$197, MATCH($B167&amp;"% GDP", Database!$AD$6:$AD$197, 0)), "")</f>
        <v/>
      </c>
      <c r="V167" s="836"/>
      <c r="W167" s="836" t="str">
        <f>IF(ISNUMBER(INDEX(Database!$U$6:$U$197, MATCH($B167&amp;"% GDP", Database!$AD$6:$AD$197, 0))), INDEX(Database!$U$6:$U$197, MATCH($B167&amp;"% GDP", Database!$AD$6:$AD$197, 0)), "")</f>
        <v/>
      </c>
      <c r="X167" s="836" t="str">
        <f>IF(ISNUMBER(INDEX(Database!$W$6:$W$197, MATCH($B167&amp;"% GDP", Database!$AD$6:$AD$197, 0))), INDEX(Database!$W$6:$W$197, MATCH($B167&amp;"% GDP", Database!$AD$6:$AD$197, 0)), "")</f>
        <v/>
      </c>
      <c r="AB167" s="562"/>
    </row>
    <row r="168" spans="2:28">
      <c r="B168" s="764" t="s">
        <v>1104</v>
      </c>
      <c r="C168" s="839">
        <v>1.962747158616112E-2</v>
      </c>
      <c r="D168" s="833">
        <v>6.5424905287203737E-3</v>
      </c>
      <c r="E168" s="833">
        <v>1.3084981057440746E-2</v>
      </c>
      <c r="F168" s="833" t="s">
        <v>452</v>
      </c>
      <c r="G168" s="837"/>
      <c r="H168" s="839" t="s">
        <v>452</v>
      </c>
      <c r="I168" s="833" t="s">
        <v>452</v>
      </c>
      <c r="J168" s="837"/>
      <c r="K168" s="833" t="s">
        <v>452</v>
      </c>
      <c r="L168" s="833" t="s">
        <v>452</v>
      </c>
      <c r="M168" s="817"/>
      <c r="N168" s="817"/>
      <c r="O168" s="839">
        <v>10.632960046420145</v>
      </c>
      <c r="P168" s="833">
        <v>3.5443200154733816</v>
      </c>
      <c r="Q168" s="833">
        <v>7.0886400309467623</v>
      </c>
      <c r="R168" s="833" t="s">
        <v>452</v>
      </c>
      <c r="S168" s="832"/>
      <c r="T168" s="839" t="s">
        <v>452</v>
      </c>
      <c r="U168" s="833" t="s">
        <v>452</v>
      </c>
      <c r="V168" s="837"/>
      <c r="W168" s="833" t="s">
        <v>452</v>
      </c>
      <c r="X168" s="833" t="s">
        <v>452</v>
      </c>
      <c r="AB168" s="717"/>
    </row>
    <row r="169" spans="2:28">
      <c r="B169" s="764" t="s">
        <v>1105</v>
      </c>
      <c r="C169" s="839" t="s">
        <v>452</v>
      </c>
      <c r="D169" s="833">
        <v>2.7074735341690831E-2</v>
      </c>
      <c r="E169" s="833">
        <v>-2.7074735341690831E-2</v>
      </c>
      <c r="F169" s="833" t="s">
        <v>452</v>
      </c>
      <c r="G169" s="837"/>
      <c r="H169" s="839" t="s">
        <v>452</v>
      </c>
      <c r="I169" s="833" t="s">
        <v>452</v>
      </c>
      <c r="J169" s="837"/>
      <c r="K169" s="833" t="s">
        <v>452</v>
      </c>
      <c r="L169" s="833" t="s">
        <v>452</v>
      </c>
      <c r="M169" s="817"/>
      <c r="N169" s="817"/>
      <c r="O169" s="839" t="s">
        <v>452</v>
      </c>
      <c r="P169" s="833">
        <v>0.36195419593312866</v>
      </c>
      <c r="Q169" s="833">
        <v>-0.36195419593312866</v>
      </c>
      <c r="R169" s="833" t="s">
        <v>452</v>
      </c>
      <c r="S169" s="832"/>
      <c r="T169" s="839" t="s">
        <v>452</v>
      </c>
      <c r="U169" s="833" t="s">
        <v>452</v>
      </c>
      <c r="V169" s="837"/>
      <c r="W169" s="833" t="s">
        <v>452</v>
      </c>
      <c r="X169" s="833" t="s">
        <v>452</v>
      </c>
      <c r="AB169" s="717"/>
    </row>
    <row r="170" spans="2:28">
      <c r="B170" s="764" t="s">
        <v>1106</v>
      </c>
      <c r="C170" s="839">
        <v>3.1625194900115668E-3</v>
      </c>
      <c r="D170" s="833">
        <v>3.1625194900115668E-3</v>
      </c>
      <c r="E170" s="833">
        <v>0</v>
      </c>
      <c r="F170" s="833" t="s">
        <v>452</v>
      </c>
      <c r="G170" s="837"/>
      <c r="H170" s="839" t="s">
        <v>452</v>
      </c>
      <c r="I170" s="833" t="s">
        <v>452</v>
      </c>
      <c r="J170" s="837"/>
      <c r="K170" s="833" t="s">
        <v>452</v>
      </c>
      <c r="L170" s="833" t="s">
        <v>452</v>
      </c>
      <c r="M170" s="817"/>
      <c r="N170" s="817"/>
      <c r="O170" s="839">
        <v>1.6683666309876898E-2</v>
      </c>
      <c r="P170" s="833">
        <v>1.6683666309876898E-2</v>
      </c>
      <c r="Q170" s="833">
        <v>0</v>
      </c>
      <c r="R170" s="833" t="s">
        <v>452</v>
      </c>
      <c r="S170" s="832"/>
      <c r="T170" s="839" t="s">
        <v>452</v>
      </c>
      <c r="U170" s="833" t="s">
        <v>452</v>
      </c>
      <c r="V170" s="837"/>
      <c r="W170" s="833" t="s">
        <v>452</v>
      </c>
      <c r="X170" s="833" t="s">
        <v>452</v>
      </c>
      <c r="AB170" s="717"/>
    </row>
    <row r="171" spans="2:28">
      <c r="B171" s="764" t="s">
        <v>1107</v>
      </c>
      <c r="C171" s="839">
        <v>0.19429619131962464</v>
      </c>
      <c r="D171" s="833">
        <v>3.7779814978815898E-2</v>
      </c>
      <c r="E171" s="833">
        <v>0.15651637634080875</v>
      </c>
      <c r="F171" s="833" t="s">
        <v>452</v>
      </c>
      <c r="G171" s="837"/>
      <c r="H171" s="839">
        <v>2.428702391495308E-2</v>
      </c>
      <c r="I171" s="833" t="s">
        <v>452</v>
      </c>
      <c r="J171" s="837"/>
      <c r="K171" s="833">
        <v>2.428702391495308E-2</v>
      </c>
      <c r="L171" s="833" t="s">
        <v>452</v>
      </c>
      <c r="M171" s="817"/>
      <c r="N171" s="817"/>
      <c r="O171" s="839">
        <v>10.195750773987438</v>
      </c>
      <c r="P171" s="833">
        <v>1.9825070949420014</v>
      </c>
      <c r="Q171" s="833">
        <v>8.2132436790454353</v>
      </c>
      <c r="R171" s="833" t="s">
        <v>452</v>
      </c>
      <c r="S171" s="832"/>
      <c r="T171" s="839">
        <v>1.2744688467484298</v>
      </c>
      <c r="U171" s="833" t="s">
        <v>452</v>
      </c>
      <c r="V171" s="837"/>
      <c r="W171" s="833">
        <v>1.2744688467484298</v>
      </c>
      <c r="X171" s="833" t="s">
        <v>452</v>
      </c>
      <c r="AB171" s="717"/>
    </row>
    <row r="172" spans="2:28">
      <c r="B172" s="764" t="s">
        <v>1108</v>
      </c>
      <c r="C172" s="839">
        <v>0</v>
      </c>
      <c r="D172" s="833" t="s">
        <v>452</v>
      </c>
      <c r="E172" s="833">
        <v>0</v>
      </c>
      <c r="F172" s="833" t="s">
        <v>452</v>
      </c>
      <c r="G172" s="837"/>
      <c r="H172" s="839" t="s">
        <v>452</v>
      </c>
      <c r="I172" s="833" t="s">
        <v>452</v>
      </c>
      <c r="J172" s="837"/>
      <c r="K172" s="833" t="s">
        <v>452</v>
      </c>
      <c r="L172" s="833" t="s">
        <v>452</v>
      </c>
      <c r="M172" s="817"/>
      <c r="N172" s="817"/>
      <c r="O172" s="839">
        <v>0</v>
      </c>
      <c r="P172" s="833" t="s">
        <v>452</v>
      </c>
      <c r="Q172" s="833">
        <v>0</v>
      </c>
      <c r="R172" s="833" t="s">
        <v>452</v>
      </c>
      <c r="S172" s="832"/>
      <c r="T172" s="839" t="s">
        <v>452</v>
      </c>
      <c r="U172" s="833" t="s">
        <v>452</v>
      </c>
      <c r="V172" s="837"/>
      <c r="W172" s="833" t="s">
        <v>452</v>
      </c>
      <c r="X172" s="833" t="s">
        <v>452</v>
      </c>
      <c r="AB172" s="717"/>
    </row>
    <row r="173" spans="2:28">
      <c r="B173" s="764" t="s">
        <v>91</v>
      </c>
      <c r="C173" s="839">
        <v>0.21782264418533689</v>
      </c>
      <c r="D173" s="833">
        <v>0.11571827972346023</v>
      </c>
      <c r="E173" s="833">
        <v>0.10210436446187666</v>
      </c>
      <c r="F173" s="833" t="s">
        <v>452</v>
      </c>
      <c r="G173" s="837"/>
      <c r="H173" s="839" t="s">
        <v>452</v>
      </c>
      <c r="I173" s="833" t="s">
        <v>452</v>
      </c>
      <c r="J173" s="837"/>
      <c r="K173" s="833" t="s">
        <v>452</v>
      </c>
      <c r="L173" s="833" t="s">
        <v>452</v>
      </c>
      <c r="M173" s="817"/>
      <c r="N173" s="817"/>
      <c r="O173" s="839">
        <v>1.5119122176183941</v>
      </c>
      <c r="P173" s="833">
        <v>0.8032033656097719</v>
      </c>
      <c r="Q173" s="833">
        <v>0.70870885200862221</v>
      </c>
      <c r="R173" s="833" t="s">
        <v>452</v>
      </c>
      <c r="S173" s="832"/>
      <c r="T173" s="839" t="s">
        <v>452</v>
      </c>
      <c r="U173" s="833" t="s">
        <v>452</v>
      </c>
      <c r="V173" s="837"/>
      <c r="W173" s="833" t="s">
        <v>452</v>
      </c>
      <c r="X173" s="833" t="s">
        <v>452</v>
      </c>
      <c r="AB173" s="717"/>
    </row>
    <row r="174" spans="2:28">
      <c r="B174" s="764" t="s">
        <v>1109</v>
      </c>
      <c r="C174" s="839">
        <v>1.9960268272320839E-2</v>
      </c>
      <c r="D174" s="833">
        <v>1.9960268272320839E-2</v>
      </c>
      <c r="E174" s="833">
        <v>0</v>
      </c>
      <c r="F174" s="833" t="s">
        <v>452</v>
      </c>
      <c r="G174" s="837"/>
      <c r="H174" s="839" t="s">
        <v>452</v>
      </c>
      <c r="I174" s="833" t="s">
        <v>452</v>
      </c>
      <c r="J174" s="837"/>
      <c r="K174" s="833" t="s">
        <v>452</v>
      </c>
      <c r="L174" s="833" t="s">
        <v>452</v>
      </c>
      <c r="M174" s="817"/>
      <c r="N174" s="817"/>
      <c r="O174" s="839">
        <v>0.23960830364283697</v>
      </c>
      <c r="P174" s="833">
        <v>0.23960830364283697</v>
      </c>
      <c r="Q174" s="833">
        <v>0</v>
      </c>
      <c r="R174" s="833" t="s">
        <v>452</v>
      </c>
      <c r="S174" s="832"/>
      <c r="T174" s="839" t="s">
        <v>452</v>
      </c>
      <c r="U174" s="833" t="s">
        <v>452</v>
      </c>
      <c r="V174" s="837"/>
      <c r="W174" s="833" t="s">
        <v>452</v>
      </c>
      <c r="X174" s="833" t="s">
        <v>452</v>
      </c>
      <c r="AB174" s="717"/>
    </row>
    <row r="175" spans="2:28">
      <c r="B175" s="764" t="s">
        <v>1110</v>
      </c>
      <c r="C175" s="839">
        <v>0.85460311034175185</v>
      </c>
      <c r="D175" s="833">
        <v>8.5460311034175188E-2</v>
      </c>
      <c r="E175" s="833">
        <v>0.76914279930757667</v>
      </c>
      <c r="F175" s="833">
        <v>0.11109840434442775</v>
      </c>
      <c r="G175" s="837"/>
      <c r="H175" s="839">
        <v>3.4184124413670074E-2</v>
      </c>
      <c r="I175" s="833" t="s">
        <v>452</v>
      </c>
      <c r="J175" s="837"/>
      <c r="K175" s="833">
        <v>3.4184124413670074E-2</v>
      </c>
      <c r="L175" s="833" t="s">
        <v>452</v>
      </c>
      <c r="M175" s="817"/>
      <c r="N175" s="817"/>
      <c r="O175" s="839">
        <v>4.8569561405360044</v>
      </c>
      <c r="P175" s="833">
        <v>0.4856956140536004</v>
      </c>
      <c r="Q175" s="833">
        <v>4.3712605264824029</v>
      </c>
      <c r="R175" s="833">
        <v>0.63140429826968048</v>
      </c>
      <c r="S175" s="832"/>
      <c r="T175" s="839">
        <v>0.19427824562144017</v>
      </c>
      <c r="U175" s="833" t="s">
        <v>452</v>
      </c>
      <c r="V175" s="837"/>
      <c r="W175" s="833">
        <v>0.19427824562144017</v>
      </c>
      <c r="X175" s="833" t="s">
        <v>452</v>
      </c>
      <c r="AB175" s="717"/>
    </row>
    <row r="176" spans="2:28">
      <c r="B176" s="764" t="s">
        <v>1111</v>
      </c>
      <c r="C176" s="839">
        <v>0.43293252072695382</v>
      </c>
      <c r="D176" s="833">
        <v>3.1296326799538823E-2</v>
      </c>
      <c r="E176" s="833">
        <v>0.40163619392741501</v>
      </c>
      <c r="F176" s="833" t="s">
        <v>452</v>
      </c>
      <c r="G176" s="837"/>
      <c r="H176" s="839" t="s">
        <v>452</v>
      </c>
      <c r="I176" s="833" t="s">
        <v>452</v>
      </c>
      <c r="J176" s="837"/>
      <c r="K176" s="833" t="s">
        <v>452</v>
      </c>
      <c r="L176" s="833" t="s">
        <v>452</v>
      </c>
      <c r="M176" s="817"/>
      <c r="N176" s="817"/>
      <c r="O176" s="839">
        <v>5.8285560646359391</v>
      </c>
      <c r="P176" s="833">
        <v>0.42134140226283889</v>
      </c>
      <c r="Q176" s="833">
        <v>5.407214662373101</v>
      </c>
      <c r="R176" s="833" t="s">
        <v>452</v>
      </c>
      <c r="S176" s="832"/>
      <c r="T176" s="839" t="s">
        <v>452</v>
      </c>
      <c r="U176" s="833" t="s">
        <v>452</v>
      </c>
      <c r="V176" s="837"/>
      <c r="W176" s="833" t="s">
        <v>452</v>
      </c>
      <c r="X176" s="833" t="s">
        <v>452</v>
      </c>
      <c r="AB176" s="717"/>
    </row>
    <row r="177" spans="2:28">
      <c r="B177" s="764" t="s">
        <v>1112</v>
      </c>
      <c r="C177" s="839">
        <v>0.24312896405919657</v>
      </c>
      <c r="D177" s="833">
        <v>0.12684989429175475</v>
      </c>
      <c r="E177" s="833">
        <v>0.11627906976744182</v>
      </c>
      <c r="F177" s="833" t="s">
        <v>452</v>
      </c>
      <c r="G177" s="837"/>
      <c r="H177" s="839">
        <v>4.2283298097251579E-2</v>
      </c>
      <c r="I177" s="833">
        <v>3.6997885835095133E-2</v>
      </c>
      <c r="J177" s="837"/>
      <c r="K177" s="833">
        <v>5.2854122621564482E-3</v>
      </c>
      <c r="L177" s="833" t="s">
        <v>452</v>
      </c>
      <c r="M177" s="817"/>
      <c r="N177" s="817"/>
      <c r="O177" s="839">
        <v>2.1667085974619615</v>
      </c>
      <c r="P177" s="833">
        <v>1.1304566595453713</v>
      </c>
      <c r="Q177" s="833">
        <v>1.0362519379165902</v>
      </c>
      <c r="R177" s="833" t="s">
        <v>452</v>
      </c>
      <c r="S177" s="832"/>
      <c r="T177" s="839">
        <v>0.37681888651512385</v>
      </c>
      <c r="U177" s="833">
        <v>0.32971652570073334</v>
      </c>
      <c r="V177" s="837"/>
      <c r="W177" s="833">
        <v>4.7102360814390482E-2</v>
      </c>
      <c r="X177" s="833" t="s">
        <v>452</v>
      </c>
      <c r="AB177" s="717"/>
    </row>
    <row r="178" spans="2:28">
      <c r="B178" s="764" t="s">
        <v>1113</v>
      </c>
      <c r="C178" s="839">
        <v>0.70546335133890226</v>
      </c>
      <c r="D178" s="833">
        <v>0.12001658674230285</v>
      </c>
      <c r="E178" s="833">
        <v>0.58544676459659928</v>
      </c>
      <c r="F178" s="833">
        <v>0.12733467129976034</v>
      </c>
      <c r="G178" s="837"/>
      <c r="H178" s="839" t="s">
        <v>452</v>
      </c>
      <c r="I178" s="833" t="s">
        <v>452</v>
      </c>
      <c r="J178" s="837"/>
      <c r="K178" s="833" t="s">
        <v>452</v>
      </c>
      <c r="L178" s="833" t="s">
        <v>452</v>
      </c>
      <c r="M178" s="817"/>
      <c r="N178" s="817"/>
      <c r="O178" s="839">
        <v>4.8284198246879306</v>
      </c>
      <c r="P178" s="833">
        <v>0.82143241830790503</v>
      </c>
      <c r="Q178" s="833">
        <v>4.0069874063800253</v>
      </c>
      <c r="R178" s="833">
        <v>0.87151976088765548</v>
      </c>
      <c r="S178" s="832"/>
      <c r="T178" s="839" t="s">
        <v>452</v>
      </c>
      <c r="U178" s="833" t="s">
        <v>452</v>
      </c>
      <c r="V178" s="837"/>
      <c r="W178" s="833" t="s">
        <v>452</v>
      </c>
      <c r="X178" s="833" t="s">
        <v>452</v>
      </c>
      <c r="AB178" s="717"/>
    </row>
    <row r="179" spans="2:28">
      <c r="B179" s="764" t="s">
        <v>912</v>
      </c>
      <c r="C179" s="840">
        <f>IF(ISNUMBER(INDEX(Database!$G$6:$G$197, MATCH($B179&amp;"USD bn", Database!$AD$6:$AD$197, 0))), INDEX(Database!$G$6:$G$197, MATCH($B179&amp;"USD bn", Database!$AD$6:$AD$197, 0)), "")</f>
        <v>0.58733903180831615</v>
      </c>
      <c r="D179" s="837">
        <f>IF(ISNUMBER(INDEX(Database!$H$6:$H$197, MATCH($B179&amp;"USD bn", Database!$AD$6:$AD$197, 0))), INDEX(Database!$H$6:$H$197, MATCH($B179&amp;"USD bn", Database!$AD$6:$AD$197, 0)), "")</f>
        <v>0.13059822221699338</v>
      </c>
      <c r="E179" s="837">
        <f>IF(ISNUMBER(INDEX(Database!$J$6:$J$197, MATCH($B179&amp;"USD bn", Database!$AD$6:$AD$197, 0))), INDEX(Database!$J$6:$J$197, MATCH($B179&amp;"USD bn", Database!$AD$6:$AD$197, 0)), "")</f>
        <v>0.45674080959132279</v>
      </c>
      <c r="F179" s="833" t="str">
        <f>IF(ISNUMBER(INDEX(Database!$L$6:$L$197, MATCH($B179&amp;"USD bn", Database!$AD$6:$AD$197, 0))), INDEX(Database!$L$6:$L$197, MATCH($B179&amp;"USD bn", Database!$AD$6:$AD$197, 0)), "")</f>
        <v/>
      </c>
      <c r="G179" s="837"/>
      <c r="H179" s="840">
        <f>IF(ISNUMBER(INDEX(Database!$P$6:$P$197, MATCH($B179&amp;"USD bn", Database!$AD$6:$AD$197, 0))), INDEX(Database!$P$6:$P$197, MATCH($B179&amp;"USD bn", Database!$AD$6:$AD$197, 0)), "")</f>
        <v>0.21178090089242169</v>
      </c>
      <c r="I179" s="837">
        <f>IF(ISNUMBER(INDEX(Database!$Q$6:$Q$197, MATCH($B179&amp;"USD bn", Database!$AD$6:$AD$197, 0))), INDEX(Database!$Q$6:$Q$197, MATCH($B179&amp;"USD bn", Database!$AD$6:$AD$197, 0)), "")</f>
        <v>0.21178090089242169</v>
      </c>
      <c r="J179" s="837"/>
      <c r="K179" s="837" t="str">
        <f>IF(ISNUMBER(INDEX(Database!$U$6:$U$197, MATCH($B179&amp;"USD bn", Database!$AD$6:$AD$197, 0))), INDEX(Database!$U$6:$U$197, MATCH($B179&amp;"USD bn", Database!$AD$6:$AD$197, 0)), "")</f>
        <v/>
      </c>
      <c r="L179" s="837" t="str">
        <f>IF(ISNUMBER(INDEX(Database!$W$6:$W$197, MATCH($B179&amp;"USD bn", Database!$AD$6:$AD$197, 0))), INDEX(Database!$W$6:$W$197, MATCH($B179&amp;"USD bn", Database!$AD$6:$AD$197, 0)), "")</f>
        <v/>
      </c>
      <c r="M179" s="817"/>
      <c r="N179" s="817"/>
      <c r="O179" s="835">
        <f>IF(ISNUMBER(INDEX(Database!$G$6:$G$197, MATCH($B179&amp;"% GDP", Database!$AD$6:$AD$197, 0))), INDEX(Database!$G$6:$G$197, MATCH($B179&amp;"% GDP", Database!$AD$6:$AD$197, 0)), "")</f>
        <v>0.72281351560912455</v>
      </c>
      <c r="P179" s="836">
        <f>IF(ISNUMBER(INDEX(Database!$H$6:$H$197, MATCH($B179&amp;"% GDP", Database!$AD$6:$AD$197, 0))), INDEX(Database!$H$6:$H$197, MATCH($B179&amp;"% GDP", Database!$AD$6:$AD$197, 0)), "")</f>
        <v>0.16072175527366353</v>
      </c>
      <c r="Q179" s="836">
        <f>IF(ISNUMBER(INDEX(Database!$J$6:$J$197, MATCH($B179&amp;"% GDP", Database!$AD$6:$AD$197, 0))), INDEX(Database!$J$6:$J$197, MATCH($B179&amp;"% GDP", Database!$AD$6:$AD$197, 0)), "")</f>
        <v>0.56209176033546104</v>
      </c>
      <c r="R179" s="836" t="str">
        <f>IF(ISNUMBER(INDEX(Database!$L$6:$L$197, MATCH($B179&amp;"% GDP", Database!$AD$6:$AD$197, 0))), INDEX(Database!$L$6:$L$197, MATCH($B179&amp;"% GDP", Database!$AD$6:$AD$197, 0)), "")</f>
        <v/>
      </c>
      <c r="S179" s="836"/>
      <c r="T179" s="835">
        <f>IF(ISNUMBER(INDEX(Database!$P$6:$P$197, MATCH($B179&amp;"% GDP", Database!$AD$6:$AD$197, 0))), INDEX(Database!$P$6:$P$197, MATCH($B179&amp;"% GDP", Database!$AD$6:$AD$197, 0)), "")</f>
        <v>0.26062987341675165</v>
      </c>
      <c r="U179" s="836">
        <f>IF(ISNUMBER(INDEX(Database!$Q$6:$Q$197, MATCH($B179&amp;"% GDP", Database!$AD$6:$AD$197, 0))), INDEX(Database!$Q$6:$Q$197, MATCH($B179&amp;"% GDP", Database!$AD$6:$AD$197, 0)), "")</f>
        <v>0.26062987341675165</v>
      </c>
      <c r="V179" s="836"/>
      <c r="W179" s="836" t="str">
        <f>IF(ISNUMBER(INDEX(Database!$U$6:$U$197, MATCH($B179&amp;"% GDP", Database!$AD$6:$AD$197, 0))), INDEX(Database!$U$6:$U$197, MATCH($B179&amp;"% GDP", Database!$AD$6:$AD$197, 0)), "")</f>
        <v/>
      </c>
      <c r="X179" s="836" t="str">
        <f>IF(ISNUMBER(INDEX(Database!$W$6:$W$197, MATCH($B179&amp;"% GDP", Database!$AD$6:$AD$197, 0))), INDEX(Database!$W$6:$W$197, MATCH($B179&amp;"% GDP", Database!$AD$6:$AD$197, 0)), "")</f>
        <v/>
      </c>
      <c r="AB179" s="717"/>
    </row>
    <row r="180" spans="2:28">
      <c r="B180" s="764" t="s">
        <v>914</v>
      </c>
      <c r="C180" s="840" t="str">
        <f>IF(ISNUMBER(INDEX(Database!$G$6:$G$197, MATCH($B180&amp;"USD bn", Database!$AD$6:$AD$197, 0))), INDEX(Database!$G$6:$G$197, MATCH($B180&amp;"USD bn", Database!$AD$6:$AD$197, 0)), "")</f>
        <v/>
      </c>
      <c r="D180" s="837" t="str">
        <f>IF(ISNUMBER(INDEX(Database!$H$6:$H$197, MATCH($B180&amp;"USD bn", Database!$AD$6:$AD$197, 0))), INDEX(Database!$H$6:$H$197, MATCH($B180&amp;"USD bn", Database!$AD$6:$AD$197, 0)), "")</f>
        <v/>
      </c>
      <c r="E180" s="837" t="str">
        <f>IF(ISNUMBER(INDEX(Database!$J$6:$J$197, MATCH($B180&amp;"USD bn", Database!$AD$6:$AD$197, 0))), INDEX(Database!$J$6:$J$197, MATCH($B180&amp;"USD bn", Database!$AD$6:$AD$197, 0)), "")</f>
        <v/>
      </c>
      <c r="F180" s="833" t="str">
        <f>IF(ISNUMBER(INDEX(Database!$L$6:$L$197, MATCH($B180&amp;"USD bn", Database!$AD$6:$AD$197, 0))), INDEX(Database!$L$6:$L$197, MATCH($B180&amp;"USD bn", Database!$AD$6:$AD$197, 0)), "")</f>
        <v/>
      </c>
      <c r="G180" s="837"/>
      <c r="H180" s="840" t="str">
        <f>IF(ISNUMBER(INDEX(Database!$P$6:$P$197, MATCH($B180&amp;"USD bn", Database!$AD$6:$AD$197, 0))), INDEX(Database!$P$6:$P$197, MATCH($B180&amp;"USD bn", Database!$AD$6:$AD$197, 0)), "")</f>
        <v/>
      </c>
      <c r="I180" s="837" t="str">
        <f>IF(ISNUMBER(INDEX(Database!$Q$6:$Q$197, MATCH($B180&amp;"USD bn", Database!$AD$6:$AD$197, 0))), INDEX(Database!$Q$6:$Q$197, MATCH($B180&amp;"USD bn", Database!$AD$6:$AD$197, 0)), "")</f>
        <v/>
      </c>
      <c r="J180" s="837"/>
      <c r="K180" s="837" t="str">
        <f>IF(ISNUMBER(INDEX(Database!$U$6:$U$197, MATCH($B180&amp;"USD bn", Database!$AD$6:$AD$197, 0))), INDEX(Database!$U$6:$U$197, MATCH($B180&amp;"USD bn", Database!$AD$6:$AD$197, 0)), "")</f>
        <v/>
      </c>
      <c r="L180" s="837" t="str">
        <f>IF(ISNUMBER(INDEX(Database!$W$6:$W$197, MATCH($B180&amp;"USD bn", Database!$AD$6:$AD$197, 0))), INDEX(Database!$W$6:$W$197, MATCH($B180&amp;"USD bn", Database!$AD$6:$AD$197, 0)), "")</f>
        <v/>
      </c>
      <c r="M180" s="817"/>
      <c r="N180" s="817"/>
      <c r="O180" s="835" t="str">
        <f>IF(ISNUMBER(INDEX(Database!$G$6:$G$197, MATCH($B180&amp;"% GDP", Database!$AD$6:$AD$197, 0))), INDEX(Database!$G$6:$G$197, MATCH($B180&amp;"% GDP", Database!$AD$6:$AD$197, 0)), "")</f>
        <v/>
      </c>
      <c r="P180" s="836" t="str">
        <f>IF(ISNUMBER(INDEX(Database!$H$6:$H$197, MATCH($B180&amp;"% GDP", Database!$AD$6:$AD$197, 0))), INDEX(Database!$H$6:$H$197, MATCH($B180&amp;"% GDP", Database!$AD$6:$AD$197, 0)), "")</f>
        <v/>
      </c>
      <c r="Q180" s="836" t="str">
        <f>IF(ISNUMBER(INDEX(Database!$J$6:$J$197, MATCH($B180&amp;"% GDP", Database!$AD$6:$AD$197, 0))), INDEX(Database!$J$6:$J$197, MATCH($B180&amp;"% GDP", Database!$AD$6:$AD$197, 0)), "")</f>
        <v/>
      </c>
      <c r="R180" s="836" t="str">
        <f>IF(ISNUMBER(INDEX(Database!$L$6:$L$197, MATCH($B180&amp;"% GDP", Database!$AD$6:$AD$197, 0))), INDEX(Database!$L$6:$L$197, MATCH($B180&amp;"% GDP", Database!$AD$6:$AD$197, 0)), "")</f>
        <v/>
      </c>
      <c r="S180" s="836"/>
      <c r="T180" s="835" t="str">
        <f>IF(ISNUMBER(INDEX(Database!$P$6:$P$197, MATCH($B180&amp;"% GDP", Database!$AD$6:$AD$197, 0))), INDEX(Database!$P$6:$P$197, MATCH($B180&amp;"% GDP", Database!$AD$6:$AD$197, 0)), "")</f>
        <v/>
      </c>
      <c r="U180" s="836" t="str">
        <f>IF(ISNUMBER(INDEX(Database!$Q$6:$Q$197, MATCH($B180&amp;"% GDP", Database!$AD$6:$AD$197, 0))), INDEX(Database!$Q$6:$Q$197, MATCH($B180&amp;"% GDP", Database!$AD$6:$AD$197, 0)), "")</f>
        <v/>
      </c>
      <c r="V180" s="836"/>
      <c r="W180" s="836" t="str">
        <f>IF(ISNUMBER(INDEX(Database!$U$6:$U$197, MATCH($B180&amp;"% GDP", Database!$AD$6:$AD$197, 0))), INDEX(Database!$U$6:$U$197, MATCH($B180&amp;"% GDP", Database!$AD$6:$AD$197, 0)), "")</f>
        <v/>
      </c>
      <c r="X180" s="836" t="str">
        <f>IF(ISNUMBER(INDEX(Database!$W$6:$W$197, MATCH($B180&amp;"% GDP", Database!$AD$6:$AD$197, 0))), INDEX(Database!$W$6:$W$197, MATCH($B180&amp;"% GDP", Database!$AD$6:$AD$197, 0)), "")</f>
        <v/>
      </c>
      <c r="AB180" s="717"/>
    </row>
    <row r="181" spans="2:28">
      <c r="B181" s="764" t="s">
        <v>1114</v>
      </c>
      <c r="C181" s="839">
        <v>0.16508648409906754</v>
      </c>
      <c r="D181" s="833">
        <v>0.11093112952688665</v>
      </c>
      <c r="E181" s="833">
        <v>5.4155354572180882E-2</v>
      </c>
      <c r="F181" s="833" t="s">
        <v>452</v>
      </c>
      <c r="G181" s="837"/>
      <c r="H181" s="839" t="s">
        <v>452</v>
      </c>
      <c r="I181" s="833" t="s">
        <v>452</v>
      </c>
      <c r="J181" s="837"/>
      <c r="K181" s="833" t="s">
        <v>452</v>
      </c>
      <c r="L181" s="833" t="s">
        <v>452</v>
      </c>
      <c r="M181" s="817"/>
      <c r="N181" s="817"/>
      <c r="O181" s="839">
        <v>1.4110775326436071</v>
      </c>
      <c r="P181" s="833">
        <v>0.94818437378697418</v>
      </c>
      <c r="Q181" s="833">
        <v>0.46289315885663307</v>
      </c>
      <c r="R181" s="833" t="s">
        <v>452</v>
      </c>
      <c r="S181" s="832"/>
      <c r="T181" s="839" t="s">
        <v>452</v>
      </c>
      <c r="U181" s="833" t="s">
        <v>452</v>
      </c>
      <c r="V181" s="837"/>
      <c r="W181" s="833" t="s">
        <v>452</v>
      </c>
      <c r="X181" s="833" t="s">
        <v>452</v>
      </c>
      <c r="AB181" s="717"/>
    </row>
    <row r="182" spans="2:28">
      <c r="B182" s="764" t="s">
        <v>915</v>
      </c>
      <c r="C182" s="840">
        <f>IF(ISNUMBER(INDEX(Database!$G$6:$G$197, MATCH($B182&amp;"USD bn", Database!$AD$6:$AD$197, 0))), INDEX(Database!$G$6:$G$197, MATCH($B182&amp;"USD bn", Database!$AD$6:$AD$197, 0)), "")</f>
        <v>0.10176470509427343</v>
      </c>
      <c r="D182" s="837">
        <f>IF(ISNUMBER(INDEX(Database!$H$6:$H$197, MATCH($B182&amp;"USD bn", Database!$AD$6:$AD$197, 0))), INDEX(Database!$H$6:$H$197, MATCH($B182&amp;"USD bn", Database!$AD$6:$AD$197, 0)), "")</f>
        <v>4.4801524297786645E-2</v>
      </c>
      <c r="E182" s="837">
        <f>IF(ISNUMBER(INDEX(Database!$J$6:$J$197, MATCH($B182&amp;"USD bn", Database!$AD$6:$AD$197, 0))), INDEX(Database!$J$6:$J$197, MATCH($B182&amp;"USD bn", Database!$AD$6:$AD$197, 0)), "")</f>
        <v>5.6963180796486788E-2</v>
      </c>
      <c r="F182" s="833" t="str">
        <f>IF(ISNUMBER(INDEX(Database!$L$6:$L$197, MATCH($B182&amp;"USD bn", Database!$AD$6:$AD$197, 0))), INDEX(Database!$L$6:$L$197, MATCH($B182&amp;"USD bn", Database!$AD$6:$AD$197, 0)), "")</f>
        <v/>
      </c>
      <c r="G182" s="837"/>
      <c r="H182" s="840">
        <f>IF(ISNUMBER(INDEX(Database!$P$6:$P$197, MATCH($B182&amp;"USD bn", Database!$AD$6:$AD$197, 0))), INDEX(Database!$P$6:$P$197, MATCH($B182&amp;"USD bn", Database!$AD$6:$AD$197, 0)), "")</f>
        <v>0.17398650212732678</v>
      </c>
      <c r="I182" s="837">
        <f>IF(ISNUMBER(INDEX(Database!$Q$6:$Q$197, MATCH($B182&amp;"USD bn", Database!$AD$6:$AD$197, 0))), INDEX(Database!$Q$6:$Q$197, MATCH($B182&amp;"USD bn", Database!$AD$6:$AD$197, 0)), "")</f>
        <v>8.6993251063663388E-2</v>
      </c>
      <c r="J182" s="837"/>
      <c r="K182" s="837">
        <f>IF(ISNUMBER(INDEX(Database!$U$6:$U$197, MATCH($B182&amp;"USD bn", Database!$AD$6:$AD$197, 0))), INDEX(Database!$U$6:$U$197, MATCH($B182&amp;"USD bn", Database!$AD$6:$AD$197, 0)), "")</f>
        <v>8.6993251063663388E-2</v>
      </c>
      <c r="L182" s="837" t="str">
        <f>IF(ISNUMBER(INDEX(Database!$W$6:$W$197, MATCH($B182&amp;"USD bn", Database!$AD$6:$AD$197, 0))), INDEX(Database!$W$6:$W$197, MATCH($B182&amp;"USD bn", Database!$AD$6:$AD$197, 0)), "")</f>
        <v/>
      </c>
      <c r="M182" s="817"/>
      <c r="N182" s="817"/>
      <c r="O182" s="835">
        <f>IF(ISNUMBER(INDEX(Database!$G$6:$G$197, MATCH($B182&amp;"% GDP", Database!$AD$6:$AD$197, 0))), INDEX(Database!$G$6:$G$197, MATCH($B182&amp;"% GDP", Database!$AD$6:$AD$197, 0)), "")</f>
        <v>0.73950497267868009</v>
      </c>
      <c r="P182" s="836">
        <f>IF(ISNUMBER(INDEX(Database!$H$6:$H$197, MATCH($B182&amp;"% GDP", Database!$AD$6:$AD$197, 0))), INDEX(Database!$H$6:$H$197, MATCH($B182&amp;"% GDP", Database!$AD$6:$AD$197, 0)), "")</f>
        <v>0.32556425109379405</v>
      </c>
      <c r="Q182" s="836">
        <f>IF(ISNUMBER(INDEX(Database!$J$6:$J$197, MATCH($B182&amp;"% GDP", Database!$AD$6:$AD$197, 0))), INDEX(Database!$J$6:$J$197, MATCH($B182&amp;"% GDP", Database!$AD$6:$AD$197, 0)), "")</f>
        <v>0.4139407215848861</v>
      </c>
      <c r="R182" s="836" t="str">
        <f>IF(ISNUMBER(INDEX(Database!$L$6:$L$197, MATCH($B182&amp;"% GDP", Database!$AD$6:$AD$197, 0))), INDEX(Database!$L$6:$L$197, MATCH($B182&amp;"% GDP", Database!$AD$6:$AD$197, 0)), "")</f>
        <v/>
      </c>
      <c r="S182" s="836"/>
      <c r="T182" s="835">
        <f>IF(ISNUMBER(INDEX(Database!$P$6:$P$197, MATCH($B182&amp;"% GDP", Database!$AD$6:$AD$197, 0))), INDEX(Database!$P$6:$P$197, MATCH($B182&amp;"% GDP", Database!$AD$6:$AD$197, 0)), "")</f>
        <v>1.2643271887137633</v>
      </c>
      <c r="U182" s="836">
        <f>IF(ISNUMBER(INDEX(Database!$Q$6:$Q$197, MATCH($B182&amp;"% GDP", Database!$AD$6:$AD$197, 0))), INDEX(Database!$Q$6:$Q$197, MATCH($B182&amp;"% GDP", Database!$AD$6:$AD$197, 0)), "")</f>
        <v>0.63216359435688163</v>
      </c>
      <c r="V182" s="836"/>
      <c r="W182" s="836">
        <f>IF(ISNUMBER(INDEX(Database!$U$6:$U$197, MATCH($B182&amp;"% GDP", Database!$AD$6:$AD$197, 0))), INDEX(Database!$U$6:$U$197, MATCH($B182&amp;"% GDP", Database!$AD$6:$AD$197, 0)), "")</f>
        <v>0.63216359435688163</v>
      </c>
      <c r="X182" s="836" t="str">
        <f>IF(ISNUMBER(INDEX(Database!$W$6:$W$197, MATCH($B182&amp;"% GDP", Database!$AD$6:$AD$197, 0))), INDEX(Database!$W$6:$W$197, MATCH($B182&amp;"% GDP", Database!$AD$6:$AD$197, 0)), "")</f>
        <v/>
      </c>
      <c r="AB182" s="764"/>
    </row>
    <row r="183" spans="2:28">
      <c r="B183" s="764" t="s">
        <v>29</v>
      </c>
      <c r="C183" s="840">
        <f>IF(ISNUMBER(INDEX(Database!$G$6:$G$197, MATCH($B183&amp;"USD bn", Database!$AD$6:$AD$197, 0))), INDEX(Database!$G$6:$G$197, MATCH($B183&amp;"USD bn", Database!$AD$6:$AD$197, 0)), "")</f>
        <v>10.381162278157996</v>
      </c>
      <c r="D183" s="837">
        <f>IF(ISNUMBER(INDEX(Database!$H$6:$H$197, MATCH($B183&amp;"USD bn", Database!$AD$6:$AD$197, 0))), INDEX(Database!$H$6:$H$197, MATCH($B183&amp;"USD bn", Database!$AD$6:$AD$197, 0)), "")</f>
        <v>6.6034102772300267</v>
      </c>
      <c r="E183" s="837">
        <f>IF(ISNUMBER(INDEX(Database!$J$6:$J$197, MATCH($B183&amp;"USD bn", Database!$AD$6:$AD$197, 0))), INDEX(Database!$J$6:$J$197, MATCH($B183&amp;"USD bn", Database!$AD$6:$AD$197, 0)), "")</f>
        <v>3.7777520009279706</v>
      </c>
      <c r="F183" s="833" t="str">
        <f>IF(ISNUMBER(INDEX(Database!$L$6:$L$197, MATCH($B183&amp;"USD bn", Database!$AD$6:$AD$197, 0))), INDEX(Database!$L$6:$L$197, MATCH($B183&amp;"USD bn", Database!$AD$6:$AD$197, 0)), "")</f>
        <v/>
      </c>
      <c r="G183" s="837"/>
      <c r="H183" s="840" t="str">
        <f>IF(ISNUMBER(INDEX(Database!$P$6:$P$197, MATCH($B183&amp;"USD bn", Database!$AD$6:$AD$197, 0))), INDEX(Database!$P$6:$P$197, MATCH($B183&amp;"USD bn", Database!$AD$6:$AD$197, 0)), "")</f>
        <v/>
      </c>
      <c r="I183" s="837" t="str">
        <f>IF(ISNUMBER(INDEX(Database!$Q$6:$Q$197, MATCH($B183&amp;"USD bn", Database!$AD$6:$AD$197, 0))), INDEX(Database!$Q$6:$Q$197, MATCH($B183&amp;"USD bn", Database!$AD$6:$AD$197, 0)), "")</f>
        <v/>
      </c>
      <c r="J183" s="837"/>
      <c r="K183" s="837" t="str">
        <f>IF(ISNUMBER(INDEX(Database!$U$6:$U$197, MATCH($B183&amp;"USD bn", Database!$AD$6:$AD$197, 0))), INDEX(Database!$U$6:$U$197, MATCH($B183&amp;"USD bn", Database!$AD$6:$AD$197, 0)), "")</f>
        <v/>
      </c>
      <c r="L183" s="837" t="str">
        <f>IF(ISNUMBER(INDEX(Database!$W$6:$W$197, MATCH($B183&amp;"USD bn", Database!$AD$6:$AD$197, 0))), INDEX(Database!$W$6:$W$197, MATCH($B183&amp;"USD bn", Database!$AD$6:$AD$197, 0)), "")</f>
        <v/>
      </c>
      <c r="M183" s="817"/>
      <c r="N183" s="817"/>
      <c r="O183" s="835">
        <f>IF(ISNUMBER(INDEX(Database!$G$6:$G$197, MATCH($B183&amp;"% GDP", Database!$AD$6:$AD$197, 0))), INDEX(Database!$G$6:$G$197, MATCH($B183&amp;"% GDP", Database!$AD$6:$AD$197, 0)), "")</f>
        <v>2.4174676981648453</v>
      </c>
      <c r="P183" s="836">
        <f>IF(ISNUMBER(INDEX(Database!$H$6:$H$197, MATCH($B183&amp;"% GDP", Database!$AD$6:$AD$197, 0))), INDEX(Database!$H$6:$H$197, MATCH($B183&amp;"% GDP", Database!$AD$6:$AD$197, 0)), "")</f>
        <v>1.5377402467275443</v>
      </c>
      <c r="Q183" s="836">
        <f>IF(ISNUMBER(INDEX(Database!$J$6:$J$197, MATCH($B183&amp;"% GDP", Database!$AD$6:$AD$197, 0))), INDEX(Database!$J$6:$J$197, MATCH($B183&amp;"% GDP", Database!$AD$6:$AD$197, 0)), "")</f>
        <v>0.8797274514373008</v>
      </c>
      <c r="R183" s="836" t="str">
        <f>IF(ISNUMBER(INDEX(Database!$L$6:$L$197, MATCH($B183&amp;"% GDP", Database!$AD$6:$AD$197, 0))), INDEX(Database!$L$6:$L$197, MATCH($B183&amp;"% GDP", Database!$AD$6:$AD$197, 0)), "")</f>
        <v/>
      </c>
      <c r="S183" s="836"/>
      <c r="T183" s="835" t="str">
        <f>IF(ISNUMBER(INDEX(Database!$P$6:$P$197, MATCH($B183&amp;"% GDP", Database!$AD$6:$AD$197, 0))), INDEX(Database!$P$6:$P$197, MATCH($B183&amp;"% GDP", Database!$AD$6:$AD$197, 0)), "")</f>
        <v/>
      </c>
      <c r="U183" s="836" t="str">
        <f>IF(ISNUMBER(INDEX(Database!$Q$6:$Q$197, MATCH($B183&amp;"% GDP", Database!$AD$6:$AD$197, 0))), INDEX(Database!$Q$6:$Q$197, MATCH($B183&amp;"% GDP", Database!$AD$6:$AD$197, 0)), "")</f>
        <v/>
      </c>
      <c r="V183" s="836"/>
      <c r="W183" s="836" t="str">
        <f>IF(ISNUMBER(INDEX(Database!$U$6:$U$197, MATCH($B183&amp;"% GDP", Database!$AD$6:$AD$197, 0))), INDEX(Database!$U$6:$U$197, MATCH($B183&amp;"% GDP", Database!$AD$6:$AD$197, 0)), "")</f>
        <v/>
      </c>
      <c r="X183" s="836" t="str">
        <f>IF(ISNUMBER(INDEX(Database!$W$6:$W$197, MATCH($B183&amp;"% GDP", Database!$AD$6:$AD$197, 0))), INDEX(Database!$W$6:$W$197, MATCH($B183&amp;"% GDP", Database!$AD$6:$AD$197, 0)), "")</f>
        <v/>
      </c>
      <c r="AB183" s="562"/>
    </row>
    <row r="184" spans="2:28">
      <c r="B184" s="764" t="s">
        <v>1115</v>
      </c>
      <c r="C184" s="839">
        <v>0.17836121884745579</v>
      </c>
      <c r="D184" s="833">
        <v>4.7377198756355446E-2</v>
      </c>
      <c r="E184" s="833">
        <v>0.13098402009110033</v>
      </c>
      <c r="F184" s="833" t="s">
        <v>452</v>
      </c>
      <c r="G184" s="837"/>
      <c r="H184" s="839" t="s">
        <v>452</v>
      </c>
      <c r="I184" s="833" t="s">
        <v>452</v>
      </c>
      <c r="J184" s="837"/>
      <c r="K184" s="833" t="s">
        <v>452</v>
      </c>
      <c r="L184" s="833" t="s">
        <v>452</v>
      </c>
      <c r="M184" s="817"/>
      <c r="N184" s="817"/>
      <c r="O184" s="839">
        <v>0.74022575937006574</v>
      </c>
      <c r="P184" s="833">
        <v>0.19662246733267372</v>
      </c>
      <c r="Q184" s="833">
        <v>0.54360329203739188</v>
      </c>
      <c r="R184" s="833" t="s">
        <v>452</v>
      </c>
      <c r="S184" s="832"/>
      <c r="T184" s="839" t="s">
        <v>452</v>
      </c>
      <c r="U184" s="833" t="s">
        <v>452</v>
      </c>
      <c r="V184" s="837"/>
      <c r="W184" s="833" t="s">
        <v>452</v>
      </c>
      <c r="X184" s="833" t="s">
        <v>452</v>
      </c>
      <c r="AB184" s="717"/>
    </row>
    <row r="185" spans="2:28">
      <c r="B185" s="764" t="s">
        <v>1116</v>
      </c>
      <c r="C185" s="839">
        <v>0.3457141711808544</v>
      </c>
      <c r="D185" s="833">
        <v>0.10803567849401699</v>
      </c>
      <c r="E185" s="833">
        <v>0.23767849268683738</v>
      </c>
      <c r="F185" s="833" t="s">
        <v>452</v>
      </c>
      <c r="G185" s="837"/>
      <c r="H185" s="839" t="s">
        <v>452</v>
      </c>
      <c r="I185" s="833" t="s">
        <v>452</v>
      </c>
      <c r="J185" s="837"/>
      <c r="K185" s="833">
        <v>0</v>
      </c>
      <c r="L185" s="833" t="s">
        <v>452</v>
      </c>
      <c r="M185" s="817"/>
      <c r="N185" s="817"/>
      <c r="O185" s="839">
        <v>3.3151884089597101</v>
      </c>
      <c r="P185" s="833">
        <v>1.0359963777999093</v>
      </c>
      <c r="Q185" s="833">
        <v>2.2791920311598006</v>
      </c>
      <c r="R185" s="833" t="s">
        <v>452</v>
      </c>
      <c r="S185" s="832"/>
      <c r="T185" s="839" t="s">
        <v>452</v>
      </c>
      <c r="U185" s="833" t="s">
        <v>452</v>
      </c>
      <c r="V185" s="837"/>
      <c r="W185" s="833">
        <v>0</v>
      </c>
      <c r="X185" s="833" t="s">
        <v>452</v>
      </c>
      <c r="AB185" s="717"/>
    </row>
    <row r="186" spans="2:28">
      <c r="B186" s="764" t="s">
        <v>1117</v>
      </c>
      <c r="C186" s="839">
        <v>1.2355704568295515E-2</v>
      </c>
      <c r="D186" s="833">
        <v>5.9490429402904331E-3</v>
      </c>
      <c r="E186" s="833">
        <v>6.4066616280050821E-3</v>
      </c>
      <c r="F186" s="833" t="s">
        <v>452</v>
      </c>
      <c r="G186" s="837"/>
      <c r="H186" s="839" t="s">
        <v>452</v>
      </c>
      <c r="I186" s="833" t="s">
        <v>452</v>
      </c>
      <c r="J186" s="837"/>
      <c r="K186" s="833" t="s">
        <v>452</v>
      </c>
      <c r="L186" s="833" t="s">
        <v>452</v>
      </c>
      <c r="M186" s="817"/>
      <c r="N186" s="817"/>
      <c r="O186" s="839">
        <v>3.0226424935506748</v>
      </c>
      <c r="P186" s="833">
        <v>1.4553463857836579</v>
      </c>
      <c r="Q186" s="833">
        <v>1.5672961077670164</v>
      </c>
      <c r="R186" s="833" t="s">
        <v>452</v>
      </c>
      <c r="S186" s="832"/>
      <c r="T186" s="839" t="s">
        <v>452</v>
      </c>
      <c r="U186" s="833" t="s">
        <v>452</v>
      </c>
      <c r="V186" s="837"/>
      <c r="W186" s="833" t="s">
        <v>452</v>
      </c>
      <c r="X186" s="833" t="s">
        <v>452</v>
      </c>
      <c r="AB186" s="717"/>
    </row>
    <row r="187" spans="2:28">
      <c r="B187" s="764" t="s">
        <v>93</v>
      </c>
      <c r="C187" s="840">
        <f>IF(ISNUMBER(INDEX(Database!$G$6:$G$197, MATCH($B187&amp;"USD bn", Database!$AD$6:$AD$197, 0))), INDEX(Database!$G$6:$G$197, MATCH($B187&amp;"USD bn", Database!$AD$6:$AD$197, 0)), "")</f>
        <v>1.3831990179032452</v>
      </c>
      <c r="D187" s="837">
        <f>IF(ISNUMBER(INDEX(Database!$H$6:$H$197, MATCH($B187&amp;"USD bn", Database!$AD$6:$AD$197, 0))), INDEX(Database!$H$6:$H$197, MATCH($B187&amp;"USD bn", Database!$AD$6:$AD$197, 0)), "")</f>
        <v>0.31491700910753129</v>
      </c>
      <c r="E187" s="837">
        <f>IF(ISNUMBER(INDEX(Database!$J$6:$J$197, MATCH($B187&amp;"USD bn", Database!$AD$6:$AD$197, 0))), INDEX(Database!$J$6:$J$197, MATCH($B187&amp;"USD bn", Database!$AD$6:$AD$197, 0)), "")</f>
        <v>1.0682820087957139</v>
      </c>
      <c r="F187" s="833">
        <f>IF(ISNUMBER(INDEX(Database!$L$6:$L$197, MATCH($B187&amp;"USD bn", Database!$AD$6:$AD$197, 0))), INDEX(Database!$L$6:$L$197, MATCH($B187&amp;"USD bn", Database!$AD$6:$AD$197, 0)), "")</f>
        <v>0.13918983827957185</v>
      </c>
      <c r="G187" s="837"/>
      <c r="H187" s="840">
        <f>IF(ISNUMBER(INDEX(Database!$P$6:$P$197, MATCH($B187&amp;"USD bn", Database!$AD$6:$AD$197, 0))), INDEX(Database!$P$6:$P$197, MATCH($B187&amp;"USD bn", Database!$AD$6:$AD$197, 0)), "")</f>
        <v>0.34797459569892963</v>
      </c>
      <c r="I187" s="837" t="str">
        <f>IF(ISNUMBER(INDEX(Database!$Q$6:$Q$197, MATCH($B187&amp;"USD bn", Database!$AD$6:$AD$197, 0))), INDEX(Database!$Q$6:$Q$197, MATCH($B187&amp;"USD bn", Database!$AD$6:$AD$197, 0)), "")</f>
        <v/>
      </c>
      <c r="J187" s="837"/>
      <c r="K187" s="837">
        <f>IF(ISNUMBER(INDEX(Database!$U$6:$U$197, MATCH($B187&amp;"USD bn", Database!$AD$6:$AD$197, 0))), INDEX(Database!$U$6:$U$197, MATCH($B187&amp;"USD bn", Database!$AD$6:$AD$197, 0)), "")</f>
        <v>0.34797459569892963</v>
      </c>
      <c r="L187" s="837" t="str">
        <f>IF(ISNUMBER(INDEX(Database!$W$6:$W$197, MATCH($B187&amp;"USD bn", Database!$AD$6:$AD$197, 0))), INDEX(Database!$W$6:$W$197, MATCH($B187&amp;"USD bn", Database!$AD$6:$AD$197, 0)), "")</f>
        <v/>
      </c>
      <c r="M187" s="817"/>
      <c r="N187" s="817"/>
      <c r="O187" s="835">
        <f>IF(ISNUMBER(INDEX(Database!$G$6:$G$197, MATCH($B187&amp;"% GDP", Database!$AD$6:$AD$197, 0))), INDEX(Database!$G$6:$G$197, MATCH($B187&amp;"% GDP", Database!$AD$6:$AD$197, 0)), "")</f>
        <v>5.6043392101381073</v>
      </c>
      <c r="P187" s="836">
        <f>IF(ISNUMBER(INDEX(Database!$H$6:$H$197, MATCH($B187&amp;"% GDP", Database!$AD$6:$AD$197, 0))), INDEX(Database!$H$6:$H$197, MATCH($B187&amp;"% GDP", Database!$AD$6:$AD$197, 0)), "")</f>
        <v>1.2759564742578584</v>
      </c>
      <c r="Q187" s="836">
        <f>IF(ISNUMBER(INDEX(Database!$J$6:$J$197, MATCH($B187&amp;"% GDP", Database!$AD$6:$AD$197, 0))), INDEX(Database!$J$6:$J$197, MATCH($B187&amp;"% GDP", Database!$AD$6:$AD$197, 0)), "")</f>
        <v>4.3283827358802496</v>
      </c>
      <c r="R187" s="836">
        <f>IF(ISNUMBER(INDEX(Database!$L$6:$L$197, MATCH($B187&amp;"% GDP", Database!$AD$6:$AD$197, 0))), INDEX(Database!$L$6:$L$197, MATCH($B187&amp;"% GDP", Database!$AD$6:$AD$197, 0)), "")</f>
        <v>0.56395866265540706</v>
      </c>
      <c r="S187" s="836"/>
      <c r="T187" s="835">
        <f>IF(ISNUMBER(INDEX(Database!$P$6:$P$197, MATCH($B187&amp;"% GDP", Database!$AD$6:$AD$197, 0))), INDEX(Database!$P$6:$P$197, MATCH($B187&amp;"% GDP", Database!$AD$6:$AD$197, 0)), "")</f>
        <v>1.4098966566385176</v>
      </c>
      <c r="U187" s="836" t="str">
        <f>IF(ISNUMBER(INDEX(Database!$Q$6:$Q$197, MATCH($B187&amp;"% GDP", Database!$AD$6:$AD$197, 0))), INDEX(Database!$Q$6:$Q$197, MATCH($B187&amp;"% GDP", Database!$AD$6:$AD$197, 0)), "")</f>
        <v/>
      </c>
      <c r="V187" s="836"/>
      <c r="W187" s="836">
        <f>IF(ISNUMBER(INDEX(Database!$U$6:$U$197, MATCH($B187&amp;"% GDP", Database!$AD$6:$AD$197, 0))), INDEX(Database!$U$6:$U$197, MATCH($B187&amp;"% GDP", Database!$AD$6:$AD$197, 0)), "")</f>
        <v>1.4098966566385176</v>
      </c>
      <c r="X187" s="836" t="str">
        <f>IF(ISNUMBER(INDEX(Database!$W$6:$W$197, MATCH($B187&amp;"% GDP", Database!$AD$6:$AD$197, 0))), INDEX(Database!$W$6:$W$197, MATCH($B187&amp;"% GDP", Database!$AD$6:$AD$197, 0)), "")</f>
        <v/>
      </c>
      <c r="AB187" s="562"/>
    </row>
    <row r="188" spans="2:28">
      <c r="B188" s="764" t="s">
        <v>1118</v>
      </c>
      <c r="C188" s="839">
        <v>0.1378674322965478</v>
      </c>
      <c r="D188" s="833">
        <v>4.2198208293371724E-2</v>
      </c>
      <c r="E188" s="833">
        <v>9.5669224003176082E-2</v>
      </c>
      <c r="F188" s="833" t="s">
        <v>452</v>
      </c>
      <c r="G188" s="837"/>
      <c r="H188" s="839" t="s">
        <v>452</v>
      </c>
      <c r="I188" s="833" t="s">
        <v>452</v>
      </c>
      <c r="J188" s="837"/>
      <c r="K188" s="833" t="s">
        <v>452</v>
      </c>
      <c r="L188" s="833" t="s">
        <v>452</v>
      </c>
      <c r="M188" s="817"/>
      <c r="N188" s="817"/>
      <c r="O188" s="839">
        <v>3.330523366323817</v>
      </c>
      <c r="P188" s="833">
        <v>1.019400422543397</v>
      </c>
      <c r="Q188" s="833">
        <v>2.3111229437804202</v>
      </c>
      <c r="R188" s="833" t="s">
        <v>452</v>
      </c>
      <c r="S188" s="832"/>
      <c r="T188" s="839" t="s">
        <v>452</v>
      </c>
      <c r="U188" s="833" t="s">
        <v>452</v>
      </c>
      <c r="V188" s="837"/>
      <c r="W188" s="833" t="s">
        <v>452</v>
      </c>
      <c r="X188" s="833" t="s">
        <v>452</v>
      </c>
      <c r="AB188" s="717"/>
    </row>
    <row r="189" spans="2:28">
      <c r="B189" s="764" t="s">
        <v>1119</v>
      </c>
      <c r="C189" s="839">
        <v>3.9359999999999992E-2</v>
      </c>
      <c r="D189" s="833">
        <v>1.8449999999999994E-2</v>
      </c>
      <c r="E189" s="833">
        <v>2.0909999999999998E-2</v>
      </c>
      <c r="F189" s="833" t="s">
        <v>452</v>
      </c>
      <c r="G189" s="837"/>
      <c r="H189" s="839" t="s">
        <v>452</v>
      </c>
      <c r="I189" s="833" t="s">
        <v>452</v>
      </c>
      <c r="J189" s="837"/>
      <c r="K189" s="833" t="s">
        <v>452</v>
      </c>
      <c r="L189" s="833" t="s">
        <v>452</v>
      </c>
      <c r="M189" s="817"/>
      <c r="N189" s="817"/>
      <c r="O189" s="839">
        <v>2.5840297961402143</v>
      </c>
      <c r="P189" s="833">
        <v>1.2112639669407252</v>
      </c>
      <c r="Q189" s="833">
        <v>1.3727658291994891</v>
      </c>
      <c r="R189" s="833" t="s">
        <v>452</v>
      </c>
      <c r="S189" s="832"/>
      <c r="T189" s="839" t="s">
        <v>452</v>
      </c>
      <c r="U189" s="833" t="s">
        <v>452</v>
      </c>
      <c r="V189" s="837"/>
      <c r="W189" s="833" t="s">
        <v>452</v>
      </c>
      <c r="X189" s="833" t="s">
        <v>452</v>
      </c>
      <c r="AB189" s="717"/>
    </row>
    <row r="190" spans="2:28">
      <c r="B190" s="764" t="s">
        <v>1120</v>
      </c>
      <c r="C190" s="839">
        <v>0.01</v>
      </c>
      <c r="D190" s="833">
        <v>0.01</v>
      </c>
      <c r="E190" s="833">
        <v>0</v>
      </c>
      <c r="F190" s="833" t="s">
        <v>452</v>
      </c>
      <c r="G190" s="837"/>
      <c r="H190" s="839" t="s">
        <v>452</v>
      </c>
      <c r="I190" s="833" t="s">
        <v>452</v>
      </c>
      <c r="J190" s="837"/>
      <c r="K190" s="833" t="s">
        <v>452</v>
      </c>
      <c r="L190" s="833" t="s">
        <v>452</v>
      </c>
      <c r="M190" s="817"/>
      <c r="N190" s="817"/>
      <c r="O190" s="839">
        <v>0.20334499412141432</v>
      </c>
      <c r="P190" s="833">
        <v>0.20334499412141432</v>
      </c>
      <c r="Q190" s="833">
        <v>0</v>
      </c>
      <c r="R190" s="833" t="s">
        <v>452</v>
      </c>
      <c r="S190" s="832"/>
      <c r="T190" s="839" t="s">
        <v>452</v>
      </c>
      <c r="U190" s="833" t="s">
        <v>452</v>
      </c>
      <c r="V190" s="837"/>
      <c r="W190" s="833" t="s">
        <v>452</v>
      </c>
      <c r="X190" s="833" t="s">
        <v>452</v>
      </c>
      <c r="AB190" s="717"/>
    </row>
    <row r="191" spans="2:28">
      <c r="B191" s="764" t="s">
        <v>1121</v>
      </c>
      <c r="C191" s="839">
        <v>7.242158094217209E-3</v>
      </c>
      <c r="D191" s="833">
        <v>7.242158094217209E-3</v>
      </c>
      <c r="E191" s="833">
        <v>0</v>
      </c>
      <c r="F191" s="833" t="s">
        <v>452</v>
      </c>
      <c r="G191" s="837"/>
      <c r="H191" s="839" t="s">
        <v>452</v>
      </c>
      <c r="I191" s="833" t="s">
        <v>452</v>
      </c>
      <c r="J191" s="837"/>
      <c r="K191" s="833" t="s">
        <v>452</v>
      </c>
      <c r="L191" s="833" t="s">
        <v>452</v>
      </c>
      <c r="M191" s="817"/>
      <c r="N191" s="817"/>
      <c r="O191" s="839">
        <v>9.8468975932919242E-2</v>
      </c>
      <c r="P191" s="833">
        <v>9.8468975932919242E-2</v>
      </c>
      <c r="Q191" s="833">
        <v>0</v>
      </c>
      <c r="R191" s="833" t="s">
        <v>452</v>
      </c>
      <c r="S191" s="832"/>
      <c r="T191" s="839" t="s">
        <v>452</v>
      </c>
      <c r="U191" s="833" t="s">
        <v>452</v>
      </c>
      <c r="V191" s="837"/>
      <c r="W191" s="833" t="s">
        <v>452</v>
      </c>
      <c r="X191" s="833" t="s">
        <v>452</v>
      </c>
      <c r="AB191" s="717"/>
    </row>
    <row r="192" spans="2:28">
      <c r="B192" s="764" t="s">
        <v>1122</v>
      </c>
      <c r="C192" s="839">
        <v>0.3373447802077017</v>
      </c>
      <c r="D192" s="833">
        <v>0.16689689126065241</v>
      </c>
      <c r="E192" s="833">
        <v>0.17044788894704929</v>
      </c>
      <c r="F192" s="833" t="s">
        <v>452</v>
      </c>
      <c r="G192" s="837"/>
      <c r="H192" s="839" t="s">
        <v>452</v>
      </c>
      <c r="I192" s="833" t="s">
        <v>452</v>
      </c>
      <c r="J192" s="837"/>
      <c r="K192" s="833" t="s">
        <v>452</v>
      </c>
      <c r="L192" s="833" t="s">
        <v>452</v>
      </c>
      <c r="M192" s="817"/>
      <c r="N192" s="817"/>
      <c r="O192" s="839">
        <v>1.0862188684294976</v>
      </c>
      <c r="P192" s="833">
        <v>0.537392492801962</v>
      </c>
      <c r="Q192" s="833">
        <v>0.54882637562753556</v>
      </c>
      <c r="R192" s="833" t="s">
        <v>452</v>
      </c>
      <c r="S192" s="832"/>
      <c r="T192" s="839" t="s">
        <v>452</v>
      </c>
      <c r="U192" s="833" t="s">
        <v>452</v>
      </c>
      <c r="V192" s="837"/>
      <c r="W192" s="833" t="s">
        <v>452</v>
      </c>
      <c r="X192" s="833" t="s">
        <v>452</v>
      </c>
      <c r="AB192" s="717"/>
    </row>
    <row r="193" spans="2:28">
      <c r="B193" s="764" t="s">
        <v>1123</v>
      </c>
      <c r="C193" s="839">
        <v>0.26887254237128744</v>
      </c>
      <c r="D193" s="833">
        <v>0.18124501957906403</v>
      </c>
      <c r="E193" s="833">
        <v>8.7627522792223397E-2</v>
      </c>
      <c r="F193" s="833" t="s">
        <v>452</v>
      </c>
      <c r="G193" s="837"/>
      <c r="H193" s="839">
        <v>3.8644993513659714E-2</v>
      </c>
      <c r="I193" s="833">
        <v>3.8644993513659714E-2</v>
      </c>
      <c r="J193" s="837"/>
      <c r="K193" s="833" t="s">
        <v>452</v>
      </c>
      <c r="L193" s="833" t="s">
        <v>452</v>
      </c>
      <c r="M193" s="817"/>
      <c r="N193" s="817"/>
      <c r="O193" s="839">
        <v>3.4547855101130538</v>
      </c>
      <c r="P193" s="833">
        <v>2.3288457121710704</v>
      </c>
      <c r="Q193" s="833">
        <v>1.1259397979419834</v>
      </c>
      <c r="R193" s="833" t="s">
        <v>452</v>
      </c>
      <c r="S193" s="832"/>
      <c r="T193" s="839">
        <v>0.4965555889490556</v>
      </c>
      <c r="U193" s="833">
        <v>0.4965555889490556</v>
      </c>
      <c r="V193" s="837"/>
      <c r="W193" s="833" t="s">
        <v>452</v>
      </c>
      <c r="X193" s="833" t="s">
        <v>452</v>
      </c>
      <c r="AB193" s="717"/>
    </row>
    <row r="194" spans="2:28">
      <c r="B194" s="764" t="s">
        <v>1124</v>
      </c>
      <c r="C194" s="839">
        <v>2.0146797647297859E-2</v>
      </c>
      <c r="D194" s="833">
        <v>1.7918986772981694E-2</v>
      </c>
      <c r="E194" s="833">
        <v>2.2278108743161648E-3</v>
      </c>
      <c r="F194" s="833">
        <v>9.5194617231465252E-3</v>
      </c>
      <c r="G194" s="837"/>
      <c r="H194" s="839" t="s">
        <v>452</v>
      </c>
      <c r="I194" s="833" t="s">
        <v>452</v>
      </c>
      <c r="J194" s="837"/>
      <c r="K194" s="833" t="s">
        <v>452</v>
      </c>
      <c r="L194" s="833" t="s">
        <v>452</v>
      </c>
      <c r="M194" s="817"/>
      <c r="N194" s="817"/>
      <c r="O194" s="839">
        <v>3.0596498246060689E-2</v>
      </c>
      <c r="P194" s="833">
        <v>2.7213170895388078E-2</v>
      </c>
      <c r="Q194" s="833">
        <v>3.3833273506726118E-3</v>
      </c>
      <c r="R194" s="833">
        <v>1.4456997038174917E-2</v>
      </c>
      <c r="S194" s="832"/>
      <c r="T194" s="839" t="s">
        <v>452</v>
      </c>
      <c r="U194" s="833" t="s">
        <v>452</v>
      </c>
      <c r="V194" s="837"/>
      <c r="W194" s="833" t="s">
        <v>452</v>
      </c>
      <c r="X194" s="833" t="s">
        <v>452</v>
      </c>
      <c r="AB194" s="717"/>
    </row>
    <row r="195" spans="2:28">
      <c r="B195" s="764" t="s">
        <v>1125</v>
      </c>
      <c r="C195" s="839">
        <v>0.15</v>
      </c>
      <c r="D195" s="833" t="s">
        <v>452</v>
      </c>
      <c r="E195" s="833" t="s">
        <v>452</v>
      </c>
      <c r="F195" s="833" t="s">
        <v>452</v>
      </c>
      <c r="G195" s="837"/>
      <c r="H195" s="839" t="s">
        <v>452</v>
      </c>
      <c r="I195" s="833" t="s">
        <v>452</v>
      </c>
      <c r="J195" s="837"/>
      <c r="K195" s="833" t="s">
        <v>452</v>
      </c>
      <c r="L195" s="833" t="s">
        <v>452</v>
      </c>
      <c r="M195" s="817"/>
      <c r="N195" s="817"/>
      <c r="O195" s="839">
        <v>7.6828773064644338</v>
      </c>
      <c r="P195" s="833" t="s">
        <v>452</v>
      </c>
      <c r="Q195" s="833" t="s">
        <v>452</v>
      </c>
      <c r="R195" s="833" t="s">
        <v>452</v>
      </c>
      <c r="S195" s="832"/>
      <c r="T195" s="839" t="s">
        <v>452</v>
      </c>
      <c r="U195" s="833" t="s">
        <v>452</v>
      </c>
      <c r="V195" s="837"/>
      <c r="W195" s="833" t="s">
        <v>452</v>
      </c>
      <c r="X195" s="833" t="s">
        <v>452</v>
      </c>
      <c r="AB195" s="717"/>
    </row>
    <row r="196" spans="2:28">
      <c r="B196" s="764" t="s">
        <v>1126</v>
      </c>
      <c r="C196" s="839">
        <v>0.18459427183381841</v>
      </c>
      <c r="D196" s="833">
        <v>0.10084316702032672</v>
      </c>
      <c r="E196" s="833">
        <v>8.3751104813491684E-2</v>
      </c>
      <c r="F196" s="833">
        <v>0</v>
      </c>
      <c r="G196" s="837"/>
      <c r="H196" s="839" t="s">
        <v>452</v>
      </c>
      <c r="I196" s="833" t="s">
        <v>452</v>
      </c>
      <c r="J196" s="837"/>
      <c r="K196" s="833" t="s">
        <v>452</v>
      </c>
      <c r="L196" s="833" t="s">
        <v>452</v>
      </c>
      <c r="M196" s="817"/>
      <c r="N196" s="817"/>
      <c r="O196" s="839">
        <v>3.2279311103090631</v>
      </c>
      <c r="P196" s="833">
        <v>1.7634068102614326</v>
      </c>
      <c r="Q196" s="833">
        <v>1.4645243000476305</v>
      </c>
      <c r="R196" s="833">
        <v>0</v>
      </c>
      <c r="S196" s="832"/>
      <c r="T196" s="839" t="s">
        <v>452</v>
      </c>
      <c r="U196" s="833" t="s">
        <v>452</v>
      </c>
      <c r="V196" s="837"/>
      <c r="W196" s="833" t="s">
        <v>452</v>
      </c>
      <c r="X196" s="833" t="s">
        <v>452</v>
      </c>
      <c r="AB196" s="717"/>
    </row>
    <row r="197" spans="2:28">
      <c r="B197" s="764" t="s">
        <v>1127</v>
      </c>
      <c r="C197" s="839">
        <v>6.5528330095515966E-2</v>
      </c>
      <c r="D197" s="833">
        <v>5.0001537020674829E-2</v>
      </c>
      <c r="E197" s="833">
        <v>1.5526793074841137E-2</v>
      </c>
      <c r="F197" s="833" t="s">
        <v>452</v>
      </c>
      <c r="G197" s="837"/>
      <c r="H197" s="839">
        <v>0.24783674593153771</v>
      </c>
      <c r="I197" s="833">
        <v>0.24783674593153771</v>
      </c>
      <c r="J197" s="837"/>
      <c r="K197" s="833" t="s">
        <v>452</v>
      </c>
      <c r="L197" s="833" t="s">
        <v>452</v>
      </c>
      <c r="M197" s="817"/>
      <c r="N197" s="817"/>
      <c r="O197" s="839">
        <v>0.17391194807262148</v>
      </c>
      <c r="P197" s="833">
        <v>0.13270389611967101</v>
      </c>
      <c r="Q197" s="833">
        <v>4.1208051952950464E-2</v>
      </c>
      <c r="R197" s="833" t="s">
        <v>452</v>
      </c>
      <c r="S197" s="832"/>
      <c r="T197" s="839">
        <v>0.63354074260132731</v>
      </c>
      <c r="U197" s="833">
        <v>0.63354074260132731</v>
      </c>
      <c r="V197" s="837"/>
      <c r="W197" s="833" t="s">
        <v>452</v>
      </c>
      <c r="X197" s="833" t="s">
        <v>452</v>
      </c>
      <c r="AB197" s="717"/>
    </row>
    <row r="198" spans="2:28">
      <c r="B198" s="764" t="s">
        <v>913</v>
      </c>
      <c r="C198" s="840">
        <f>IF(ISNUMBER(INDEX(Database!$G$6:$G$197, MATCH($B198&amp;"USD bn", Database!$AD$6:$AD$197, 0))), INDEX(Database!$G$6:$G$197, MATCH($B198&amp;"USD bn", Database!$AD$6:$AD$197, 0)), "")</f>
        <v>3.3915014286441689</v>
      </c>
      <c r="D198" s="837">
        <f>IF(ISNUMBER(INDEX(Database!$H$6:$H$197, MATCH($B198&amp;"USD bn", Database!$AD$6:$AD$197, 0))), INDEX(Database!$H$6:$H$197, MATCH($B198&amp;"USD bn", Database!$AD$6:$AD$197, 0)), "")</f>
        <v>0.70117551530619915</v>
      </c>
      <c r="E198" s="837">
        <f>IF(ISNUMBER(INDEX(Database!$J$6:$J$197, MATCH($B198&amp;"USD bn", Database!$AD$6:$AD$197, 0))), INDEX(Database!$J$6:$J$197, MATCH($B198&amp;"USD bn", Database!$AD$6:$AD$197, 0)), "")</f>
        <v>2.6903259133379698</v>
      </c>
      <c r="F198" s="833" t="str">
        <f>IF(ISNUMBER(INDEX(Database!$L$6:$L$197, MATCH($B198&amp;"USD bn", Database!$AD$6:$AD$197, 0))), INDEX(Database!$L$6:$L$197, MATCH($B198&amp;"USD bn", Database!$AD$6:$AD$197, 0)), "")</f>
        <v/>
      </c>
      <c r="G198" s="837"/>
      <c r="H198" s="840">
        <f>IF(ISNUMBER(INDEX(Database!$P$6:$P$197, MATCH($B198&amp;"USD bn", Database!$AD$6:$AD$197, 0))), INDEX(Database!$P$6:$P$197, MATCH($B198&amp;"USD bn", Database!$AD$6:$AD$197, 0)), "")</f>
        <v>1.2307868087821581</v>
      </c>
      <c r="I198" s="837">
        <f>IF(ISNUMBER(INDEX(Database!$Q$6:$Q$197, MATCH($B198&amp;"USD bn", Database!$AD$6:$AD$197, 0))), INDEX(Database!$Q$6:$Q$197, MATCH($B198&amp;"USD bn", Database!$AD$6:$AD$197, 0)), "")</f>
        <v>1.2307868087821581</v>
      </c>
      <c r="J198" s="837"/>
      <c r="K198" s="837" t="str">
        <f>IF(ISNUMBER(INDEX(Database!$U$6:$U$197, MATCH($B198&amp;"USD bn", Database!$AD$6:$AD$197, 0))), INDEX(Database!$U$6:$U$197, MATCH($B198&amp;"USD bn", Database!$AD$6:$AD$197, 0)), "")</f>
        <v/>
      </c>
      <c r="L198" s="837" t="str">
        <f>IF(ISNUMBER(INDEX(Database!$W$6:$W$197, MATCH($B198&amp;"USD bn", Database!$AD$6:$AD$197, 0))), INDEX(Database!$W$6:$W$197, MATCH($B198&amp;"USD bn", Database!$AD$6:$AD$197, 0)), "")</f>
        <v/>
      </c>
      <c r="M198" s="817"/>
      <c r="N198" s="817"/>
      <c r="O198" s="835">
        <f>IF(ISNUMBER(INDEX(Database!$G$6:$G$197, MATCH($B198&amp;"% GDP", Database!$AD$6:$AD$197, 0))), INDEX(Database!$G$6:$G$197, MATCH($B198&amp;"% GDP", Database!$AD$6:$AD$197, 0)), "")</f>
        <v>5.6592682383610757</v>
      </c>
      <c r="P198" s="836">
        <f>IF(ISNUMBER(INDEX(Database!$H$6:$H$197, MATCH($B198&amp;"% GDP", Database!$AD$6:$AD$197, 0))), INDEX(Database!$H$6:$H$197, MATCH($B198&amp;"% GDP", Database!$AD$6:$AD$197, 0)), "")</f>
        <v>1.1700246651157062</v>
      </c>
      <c r="Q198" s="836">
        <f>IF(ISNUMBER(INDEX(Database!$J$6:$J$197, MATCH($B198&amp;"% GDP", Database!$AD$6:$AD$197, 0))), INDEX(Database!$J$6:$J$197, MATCH($B198&amp;"% GDP", Database!$AD$6:$AD$197, 0)), "")</f>
        <v>4.4892435732453695</v>
      </c>
      <c r="R198" s="836" t="str">
        <f>IF(ISNUMBER(INDEX(Database!$L$6:$L$197, MATCH($B198&amp;"% GDP", Database!$AD$6:$AD$197, 0))), INDEX(Database!$L$6:$L$197, MATCH($B198&amp;"% GDP", Database!$AD$6:$AD$197, 0)), "")</f>
        <v/>
      </c>
      <c r="S198" s="836"/>
      <c r="T198" s="835">
        <f>IF(ISNUMBER(INDEX(Database!$P$6:$P$197, MATCH($B198&amp;"% GDP", Database!$AD$6:$AD$197, 0))), INDEX(Database!$P$6:$P$197, MATCH($B198&amp;"% GDP", Database!$AD$6:$AD$197, 0)), "")</f>
        <v>2.0537666994052293</v>
      </c>
      <c r="U198" s="836">
        <f>IF(ISNUMBER(INDEX(Database!$Q$6:$Q$197, MATCH($B198&amp;"% GDP", Database!$AD$6:$AD$197, 0))), INDEX(Database!$Q$6:$Q$197, MATCH($B198&amp;"% GDP", Database!$AD$6:$AD$197, 0)), "")</f>
        <v>2.0537666994052293</v>
      </c>
      <c r="V198" s="836"/>
      <c r="W198" s="836" t="str">
        <f>IF(ISNUMBER(INDEX(Database!$U$6:$U$197, MATCH($B198&amp;"% GDP", Database!$AD$6:$AD$197, 0))), INDEX(Database!$U$6:$U$197, MATCH($B198&amp;"% GDP", Database!$AD$6:$AD$197, 0)), "")</f>
        <v/>
      </c>
      <c r="X198" s="836" t="str">
        <f>IF(ISNUMBER(INDEX(Database!$W$6:$W$197, MATCH($B198&amp;"% GDP", Database!$AD$6:$AD$197, 0))), INDEX(Database!$W$6:$W$197, MATCH($B198&amp;"% GDP", Database!$AD$6:$AD$197, 0)), "")</f>
        <v/>
      </c>
      <c r="AB198" s="717"/>
    </row>
    <row r="199" spans="2:28">
      <c r="B199" s="764" t="s">
        <v>33</v>
      </c>
      <c r="C199" s="840">
        <f>IF(ISNUMBER(INDEX(Database!$G$6:$G$197, MATCH($B199&amp;"USD bn", Database!$AD$6:$AD$197, 0))), INDEX(Database!$G$6:$G$197, MATCH($B199&amp;"USD bn", Database!$AD$6:$AD$197, 0)), "")</f>
        <v>6.074238065187715</v>
      </c>
      <c r="D199" s="837">
        <f>IF(ISNUMBER(INDEX(Database!$H$6:$H$197, MATCH($B199&amp;"USD bn", Database!$AD$6:$AD$197, 0))), INDEX(Database!$H$6:$H$197, MATCH($B199&amp;"USD bn", Database!$AD$6:$AD$197, 0)), "")</f>
        <v>1.3739501827943565</v>
      </c>
      <c r="E199" s="837">
        <f>IF(ISNUMBER(INDEX(Database!$J$6:$J$197, MATCH($B199&amp;"USD bn", Database!$AD$6:$AD$197, 0))), INDEX(Database!$J$6:$J$197, MATCH($B199&amp;"USD bn", Database!$AD$6:$AD$197, 0)), "")</f>
        <v>4.7002878823933587</v>
      </c>
      <c r="F199" s="833">
        <f>IF(ISNUMBER(INDEX(Database!$L$6:$L$197, MATCH($B199&amp;"USD bn", Database!$AD$6:$AD$197, 0))), INDEX(Database!$L$6:$L$197, MATCH($B199&amp;"USD bn", Database!$AD$6:$AD$197, 0)), "")</f>
        <v>12.70580890044938</v>
      </c>
      <c r="G199" s="837"/>
      <c r="H199" s="840">
        <f>IF(ISNUMBER(INDEX(Database!$P$6:$P$197, MATCH($B199&amp;"USD bn", Database!$AD$6:$AD$197, 0))), INDEX(Database!$P$6:$P$197, MATCH($B199&amp;"USD bn", Database!$AD$6:$AD$197, 0)), "")</f>
        <v>3.2776679909294839</v>
      </c>
      <c r="I199" s="837">
        <f>IF(ISNUMBER(INDEX(Database!$Q$6:$Q$197, MATCH($B199&amp;"USD bn", Database!$AD$6:$AD$197, 0))), INDEX(Database!$Q$6:$Q$197, MATCH($B199&amp;"USD bn", Database!$AD$6:$AD$197, 0)), "")</f>
        <v>1.119834004785369</v>
      </c>
      <c r="J199" s="837"/>
      <c r="K199" s="837" t="str">
        <f>IF(ISNUMBER(INDEX(Database!$U$6:$U$197, MATCH($B199&amp;"USD bn", Database!$AD$6:$AD$197, 0))), INDEX(Database!$U$6:$U$197, MATCH($B199&amp;"USD bn", Database!$AD$6:$AD$197, 0)), "")</f>
        <v/>
      </c>
      <c r="L199" s="837">
        <f>IF(ISNUMBER(INDEX(Database!$W$6:$W$197, MATCH($B199&amp;"USD bn", Database!$AD$6:$AD$197, 0))), INDEX(Database!$W$6:$W$197, MATCH($B199&amp;"USD bn", Database!$AD$6:$AD$197, 0)), "")</f>
        <v>2.1578339861441149</v>
      </c>
      <c r="M199" s="817"/>
      <c r="N199" s="817"/>
      <c r="O199" s="835">
        <f>IF(ISNUMBER(INDEX(Database!$G$6:$G$197, MATCH($B199&amp;"% GDP", Database!$AD$6:$AD$197, 0))), INDEX(Database!$G$6:$G$197, MATCH($B199&amp;"% GDP", Database!$AD$6:$AD$197, 0)), "")</f>
        <v>1.7703277371912942</v>
      </c>
      <c r="P199" s="836">
        <f>IF(ISNUMBER(INDEX(Database!$H$6:$H$197, MATCH($B199&amp;"% GDP", Database!$AD$6:$AD$197, 0))), INDEX(Database!$H$6:$H$197, MATCH($B199&amp;"% GDP", Database!$AD$6:$AD$197, 0)), "")</f>
        <v>0.40043575704745288</v>
      </c>
      <c r="Q199" s="836">
        <f>IF(ISNUMBER(INDEX(Database!$J$6:$J$197, MATCH($B199&amp;"% GDP", Database!$AD$6:$AD$197, 0))), INDEX(Database!$J$6:$J$197, MATCH($B199&amp;"% GDP", Database!$AD$6:$AD$197, 0)), "")</f>
        <v>1.3698919801438412</v>
      </c>
      <c r="R199" s="836">
        <f>IF(ISNUMBER(INDEX(Database!$L$6:$L$197, MATCH($B199&amp;"% GDP", Database!$AD$6:$AD$197, 0))), INDEX(Database!$L$6:$L$197, MATCH($B199&amp;"% GDP", Database!$AD$6:$AD$197, 0)), "")</f>
        <v>3.7030892893103009</v>
      </c>
      <c r="S199" s="836"/>
      <c r="T199" s="835">
        <f>IF(ISNUMBER(INDEX(Database!$P$6:$P$197, MATCH($B199&amp;"% GDP", Database!$AD$6:$AD$197, 0))), INDEX(Database!$P$6:$P$197, MATCH($B199&amp;"% GDP", Database!$AD$6:$AD$197, 0)), "")</f>
        <v>0.95527150819157258</v>
      </c>
      <c r="U199" s="836">
        <f>IF(ISNUMBER(INDEX(Database!$Q$6:$Q$197, MATCH($B199&amp;"% GDP", Database!$AD$6:$AD$197, 0))), INDEX(Database!$Q$6:$Q$197, MATCH($B199&amp;"% GDP", Database!$AD$6:$AD$197, 0)), "")</f>
        <v>0.3263739712612469</v>
      </c>
      <c r="V199" s="836"/>
      <c r="W199" s="836" t="str">
        <f>IF(ISNUMBER(INDEX(Database!$U$6:$U$197, MATCH($B199&amp;"% GDP", Database!$AD$6:$AD$197, 0))), INDEX(Database!$U$6:$U$197, MATCH($B199&amp;"% GDP", Database!$AD$6:$AD$197, 0)), "")</f>
        <v/>
      </c>
      <c r="X199" s="836">
        <f>IF(ISNUMBER(INDEX(Database!$W$6:$W$197, MATCH($B199&amp;"% GDP", Database!$AD$6:$AD$197, 0))), INDEX(Database!$W$6:$W$197, MATCH($B199&amp;"% GDP", Database!$AD$6:$AD$197, 0)), "")</f>
        <v>0.62889753693032568</v>
      </c>
      <c r="AB199" s="562"/>
    </row>
    <row r="200" spans="2:28">
      <c r="B200" s="764" t="s">
        <v>1128</v>
      </c>
      <c r="C200" s="839" t="s">
        <v>452</v>
      </c>
      <c r="D200" s="833" t="s">
        <v>452</v>
      </c>
      <c r="E200" s="833" t="s">
        <v>452</v>
      </c>
      <c r="F200" s="833" t="s">
        <v>452</v>
      </c>
      <c r="G200" s="837"/>
      <c r="H200" s="839" t="s">
        <v>452</v>
      </c>
      <c r="I200" s="833" t="s">
        <v>452</v>
      </c>
      <c r="J200" s="837"/>
      <c r="K200" s="833" t="s">
        <v>452</v>
      </c>
      <c r="L200" s="833" t="s">
        <v>452</v>
      </c>
      <c r="M200" s="817"/>
      <c r="N200" s="817"/>
      <c r="O200" s="839" t="s">
        <v>452</v>
      </c>
      <c r="P200" s="833" t="s">
        <v>452</v>
      </c>
      <c r="Q200" s="833" t="s">
        <v>452</v>
      </c>
      <c r="R200" s="833" t="s">
        <v>452</v>
      </c>
      <c r="S200" s="832"/>
      <c r="T200" s="839" t="s">
        <v>452</v>
      </c>
      <c r="U200" s="833" t="s">
        <v>452</v>
      </c>
      <c r="V200" s="837"/>
      <c r="W200" s="833" t="s">
        <v>452</v>
      </c>
      <c r="X200" s="833" t="s">
        <v>452</v>
      </c>
      <c r="AB200" s="717"/>
    </row>
    <row r="201" spans="2:28">
      <c r="B201" s="764" t="s">
        <v>916</v>
      </c>
      <c r="C201" s="839">
        <v>0.39701731992953948</v>
      </c>
      <c r="D201" s="833">
        <v>5.5917932384442183E-2</v>
      </c>
      <c r="E201" s="833">
        <v>0.34109938754509728</v>
      </c>
      <c r="F201" s="833" t="s">
        <v>452</v>
      </c>
      <c r="G201" s="837"/>
      <c r="H201" s="839">
        <v>5.032613914599797E-2</v>
      </c>
      <c r="I201" s="833">
        <v>5.032613914599797E-2</v>
      </c>
      <c r="J201" s="837"/>
      <c r="K201" s="833" t="s">
        <v>452</v>
      </c>
      <c r="L201" s="833" t="s">
        <v>452</v>
      </c>
      <c r="M201" s="817"/>
      <c r="N201" s="817"/>
      <c r="O201" s="839">
        <v>2.0995999624452013</v>
      </c>
      <c r="P201" s="833">
        <v>0.29571830456974668</v>
      </c>
      <c r="Q201" s="833">
        <v>1.8038816578754544</v>
      </c>
      <c r="R201" s="833" t="s">
        <v>452</v>
      </c>
      <c r="S201" s="832"/>
      <c r="T201" s="839">
        <v>0.26614647411277198</v>
      </c>
      <c r="U201" s="833">
        <v>0.26614647411277198</v>
      </c>
      <c r="V201" s="837"/>
      <c r="W201" s="833" t="s">
        <v>452</v>
      </c>
      <c r="X201" s="833" t="s">
        <v>452</v>
      </c>
      <c r="AB201" s="717"/>
    </row>
    <row r="202" spans="2:28">
      <c r="B202" s="764" t="s">
        <v>1129</v>
      </c>
      <c r="C202" s="839">
        <v>0.67232885262712061</v>
      </c>
      <c r="D202" s="833">
        <v>1.96170222251945E-2</v>
      </c>
      <c r="E202" s="833">
        <v>0.65271183040192615</v>
      </c>
      <c r="F202" s="833" t="s">
        <v>452</v>
      </c>
      <c r="G202" s="837"/>
      <c r="H202" s="839" t="s">
        <v>452</v>
      </c>
      <c r="I202" s="833" t="s">
        <v>452</v>
      </c>
      <c r="J202" s="837"/>
      <c r="K202" s="833" t="s">
        <v>452</v>
      </c>
      <c r="L202" s="833" t="s">
        <v>452</v>
      </c>
      <c r="M202" s="817"/>
      <c r="N202" s="817"/>
      <c r="O202" s="839">
        <v>4.8015924631708344</v>
      </c>
      <c r="P202" s="833">
        <v>0.14009951484052835</v>
      </c>
      <c r="Q202" s="833">
        <v>4.6614929483303067</v>
      </c>
      <c r="R202" s="833" t="s">
        <v>452</v>
      </c>
      <c r="S202" s="832"/>
      <c r="T202" s="839" t="s">
        <v>452</v>
      </c>
      <c r="U202" s="833" t="s">
        <v>452</v>
      </c>
      <c r="V202" s="837"/>
      <c r="W202" s="833" t="s">
        <v>452</v>
      </c>
      <c r="X202" s="833" t="s">
        <v>452</v>
      </c>
      <c r="AB202" s="717"/>
    </row>
    <row r="203" spans="2:28">
      <c r="B203" s="764"/>
      <c r="C203" s="841"/>
      <c r="D203" s="842"/>
      <c r="E203" s="842"/>
      <c r="F203" s="842"/>
      <c r="G203" s="842"/>
      <c r="H203" s="841"/>
      <c r="I203" s="842"/>
      <c r="J203" s="842"/>
      <c r="K203" s="842"/>
      <c r="L203" s="842"/>
      <c r="O203" s="843"/>
      <c r="P203" s="844"/>
      <c r="Q203" s="844"/>
      <c r="R203" s="844"/>
      <c r="S203" s="844"/>
      <c r="T203" s="843"/>
      <c r="U203" s="844"/>
      <c r="V203" s="844"/>
      <c r="W203" s="844"/>
      <c r="X203" s="844"/>
      <c r="AB203" s="562"/>
    </row>
    <row r="204" spans="2:28">
      <c r="B204" s="845" t="s">
        <v>1130</v>
      </c>
      <c r="C204" s="846">
        <v>5784.277417560008</v>
      </c>
      <c r="D204" s="847">
        <v>597.15935652634369</v>
      </c>
      <c r="E204" s="847">
        <v>5181.3925567276556</v>
      </c>
      <c r="F204" s="846">
        <f>SUM(F8:F202)-IF(F10="", 0, F10)</f>
        <v>773.45007695660536</v>
      </c>
      <c r="G204" s="847"/>
      <c r="H204" s="846">
        <f>I204+ K204 + L204</f>
        <v>5668.7152349558392</v>
      </c>
      <c r="I204" s="846">
        <v>433.70729627256952</v>
      </c>
      <c r="J204" s="846"/>
      <c r="K204" s="846">
        <v>3823.851074857148</v>
      </c>
      <c r="L204" s="846">
        <v>1411.1568638261215</v>
      </c>
      <c r="O204" s="843">
        <v>5.7356253123314227</v>
      </c>
      <c r="P204" s="843">
        <v>0.60539727955309974</v>
      </c>
      <c r="Q204" s="843">
        <v>5.1204485713175529</v>
      </c>
      <c r="R204" s="844">
        <v>1.024331794128307</v>
      </c>
      <c r="S204" s="844"/>
      <c r="T204" s="843">
        <f>U204+W204+X204</f>
        <v>5.9233554334497871</v>
      </c>
      <c r="U204" s="844">
        <v>0.46124045328668267</v>
      </c>
      <c r="V204" s="844"/>
      <c r="W204" s="844">
        <v>4.0593047315249642</v>
      </c>
      <c r="X204" s="844">
        <v>1.4028102486381402</v>
      </c>
      <c r="AB204" s="719"/>
    </row>
    <row r="206" spans="2:28" s="383" customFormat="1" ht="3.65" customHeight="1">
      <c r="B206" s="848"/>
      <c r="C206" s="2"/>
      <c r="D206" s="2"/>
      <c r="E206" s="2"/>
      <c r="F206" s="2"/>
      <c r="G206" s="2"/>
      <c r="H206" s="2"/>
      <c r="I206" s="2"/>
      <c r="J206" s="2"/>
      <c r="K206" s="2"/>
      <c r="L206" s="2"/>
      <c r="M206" s="2"/>
      <c r="N206" s="2"/>
      <c r="O206" s="2"/>
      <c r="P206" s="2"/>
      <c r="Q206" s="2"/>
      <c r="R206" s="2"/>
      <c r="S206" s="2"/>
      <c r="T206" s="2"/>
      <c r="U206" s="2"/>
      <c r="V206" s="2"/>
      <c r="W206" s="2"/>
      <c r="X206" s="2"/>
      <c r="AB206" s="560"/>
    </row>
    <row r="207" spans="2:28">
      <c r="B207" s="849" t="s">
        <v>108</v>
      </c>
      <c r="AB207" s="566"/>
    </row>
    <row r="208" spans="2:28">
      <c r="B208" s="1245" t="s">
        <v>1251</v>
      </c>
      <c r="C208" s="1245"/>
      <c r="D208" s="1245"/>
      <c r="E208" s="1245"/>
      <c r="F208" s="1245"/>
      <c r="G208" s="1245"/>
      <c r="H208" s="1245"/>
      <c r="I208" s="1245"/>
      <c r="J208" s="1245"/>
      <c r="K208" s="1245"/>
      <c r="L208" s="1245"/>
      <c r="M208" s="1245"/>
      <c r="N208" s="1245"/>
      <c r="O208" s="1245"/>
      <c r="P208" s="1245"/>
      <c r="Q208" s="1245"/>
      <c r="R208" s="1245"/>
      <c r="S208" s="1245"/>
      <c r="T208" s="1245"/>
      <c r="U208" s="1245"/>
      <c r="V208" s="1245"/>
      <c r="W208" s="1245"/>
    </row>
    <row r="209" spans="2:2">
      <c r="B209" s="352" t="s">
        <v>1242</v>
      </c>
    </row>
    <row r="210" spans="2:2">
      <c r="B210" s="352" t="s">
        <v>1244</v>
      </c>
    </row>
  </sheetData>
  <mergeCells count="15">
    <mergeCell ref="B3:L3"/>
    <mergeCell ref="N3:X3"/>
    <mergeCell ref="C4:F4"/>
    <mergeCell ref="H4:L4"/>
    <mergeCell ref="O4:R4"/>
    <mergeCell ref="T4:X4"/>
    <mergeCell ref="U5:U6"/>
    <mergeCell ref="W5:X5"/>
    <mergeCell ref="B208:W208"/>
    <mergeCell ref="C5:E5"/>
    <mergeCell ref="F5:F6"/>
    <mergeCell ref="I5:I6"/>
    <mergeCell ref="K5:L5"/>
    <mergeCell ref="O5:Q5"/>
    <mergeCell ref="R5:R6"/>
  </mergeCells>
  <pageMargins left="0.7" right="0.7" top="0.75" bottom="0.75" header="0.3" footer="0.3"/>
  <pageSetup scale="6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913C-6726-4CF0-96C0-895E25815C0E}">
  <sheetPr filterMode="1"/>
  <dimension ref="A2:A199"/>
  <sheetViews>
    <sheetView topLeftCell="A101" workbookViewId="0">
      <selection activeCell="A29" sqref="A29:A199"/>
    </sheetView>
  </sheetViews>
  <sheetFormatPr defaultRowHeight="12.5"/>
  <sheetData>
    <row r="2" spans="1:1">
      <c r="A2" s="571"/>
    </row>
    <row r="3" spans="1:1">
      <c r="A3" s="571"/>
    </row>
    <row r="4" spans="1:1">
      <c r="A4" s="576"/>
    </row>
    <row r="5" spans="1:1">
      <c r="A5" s="561" t="s">
        <v>775</v>
      </c>
    </row>
    <row r="6" spans="1:1" hidden="1">
      <c r="A6" s="562" t="s">
        <v>0</v>
      </c>
    </row>
    <row r="7" spans="1:1" hidden="1">
      <c r="A7" s="562" t="s">
        <v>1</v>
      </c>
    </row>
    <row r="8" spans="1:1" hidden="1">
      <c r="A8" s="562" t="s">
        <v>430</v>
      </c>
    </row>
    <row r="9" spans="1:1" hidden="1">
      <c r="A9" s="562" t="s">
        <v>2</v>
      </c>
    </row>
    <row r="10" spans="1:1" hidden="1">
      <c r="A10" s="562" t="s">
        <v>3</v>
      </c>
    </row>
    <row r="11" spans="1:1" hidden="1">
      <c r="A11" s="562" t="s">
        <v>4</v>
      </c>
    </row>
    <row r="12" spans="1:1" hidden="1">
      <c r="A12" s="562" t="s">
        <v>5</v>
      </c>
    </row>
    <row r="13" spans="1:1" hidden="1">
      <c r="A13" s="562" t="s">
        <v>6</v>
      </c>
    </row>
    <row r="14" spans="1:1" hidden="1">
      <c r="A14" s="562" t="s">
        <v>32</v>
      </c>
    </row>
    <row r="15" spans="1:1" hidden="1">
      <c r="A15" s="562" t="s">
        <v>7</v>
      </c>
    </row>
    <row r="16" spans="1:1" hidden="1">
      <c r="A16" s="562" t="s">
        <v>8</v>
      </c>
    </row>
    <row r="17" spans="1:1" hidden="1">
      <c r="A17" s="561" t="s">
        <v>869</v>
      </c>
    </row>
    <row r="18" spans="1:1" hidden="1">
      <c r="A18" s="562" t="s">
        <v>9</v>
      </c>
    </row>
    <row r="19" spans="1:1" hidden="1">
      <c r="A19" s="562" t="s">
        <v>10</v>
      </c>
    </row>
    <row r="20" spans="1:1" hidden="1">
      <c r="A20" s="562" t="s">
        <v>11</v>
      </c>
    </row>
    <row r="21" spans="1:1" hidden="1">
      <c r="A21" s="562" t="s">
        <v>12</v>
      </c>
    </row>
    <row r="22" spans="1:1" hidden="1">
      <c r="A22" s="562" t="s">
        <v>13</v>
      </c>
    </row>
    <row r="23" spans="1:1" hidden="1">
      <c r="A23" s="562" t="s">
        <v>14</v>
      </c>
    </row>
    <row r="24" spans="1:1" hidden="1">
      <c r="A24" s="562" t="s">
        <v>15</v>
      </c>
    </row>
    <row r="25" spans="1:1" hidden="1">
      <c r="A25" s="562" t="s">
        <v>16</v>
      </c>
    </row>
    <row r="26" spans="1:1" hidden="1">
      <c r="A26" s="562" t="s">
        <v>17</v>
      </c>
    </row>
    <row r="27" spans="1:1" hidden="1">
      <c r="A27" s="562" t="s">
        <v>18</v>
      </c>
    </row>
    <row r="28" spans="1:1" hidden="1">
      <c r="A28" s="565" t="s">
        <v>776</v>
      </c>
    </row>
    <row r="29" spans="1:1">
      <c r="A29" s="718" t="s">
        <v>1011</v>
      </c>
    </row>
    <row r="30" spans="1:1" hidden="1">
      <c r="A30" s="562" t="s">
        <v>547</v>
      </c>
    </row>
    <row r="31" spans="1:1">
      <c r="A31" s="718" t="s">
        <v>1012</v>
      </c>
    </row>
    <row r="32" spans="1:1" hidden="1">
      <c r="A32" s="563" t="s">
        <v>541</v>
      </c>
    </row>
    <row r="33" spans="1:1" hidden="1">
      <c r="A33" s="563" t="s">
        <v>19</v>
      </c>
    </row>
    <row r="34" spans="1:1">
      <c r="A34" s="718" t="s">
        <v>1013</v>
      </c>
    </row>
    <row r="35" spans="1:1" hidden="1">
      <c r="A35" s="563" t="s">
        <v>20</v>
      </c>
    </row>
    <row r="36" spans="1:1">
      <c r="A36" s="718" t="s">
        <v>1014</v>
      </c>
    </row>
    <row r="37" spans="1:1">
      <c r="A37" s="718" t="s">
        <v>39</v>
      </c>
    </row>
    <row r="38" spans="1:1">
      <c r="A38" s="718" t="s">
        <v>1015</v>
      </c>
    </row>
    <row r="39" spans="1:1">
      <c r="A39" s="718" t="s">
        <v>1016</v>
      </c>
    </row>
    <row r="40" spans="1:1">
      <c r="A40" s="718" t="s">
        <v>1017</v>
      </c>
    </row>
    <row r="41" spans="1:1">
      <c r="A41" s="718" t="s">
        <v>1018</v>
      </c>
    </row>
    <row r="42" spans="1:1">
      <c r="A42" s="718" t="s">
        <v>1019</v>
      </c>
    </row>
    <row r="43" spans="1:1">
      <c r="A43" s="718" t="s">
        <v>1020</v>
      </c>
    </row>
    <row r="44" spans="1:1">
      <c r="A44" s="718" t="s">
        <v>1021</v>
      </c>
    </row>
    <row r="45" spans="1:1">
      <c r="A45" s="718" t="s">
        <v>1022</v>
      </c>
    </row>
    <row r="46" spans="1:1" hidden="1">
      <c r="A46" s="563" t="s">
        <v>553</v>
      </c>
    </row>
    <row r="47" spans="1:1" hidden="1">
      <c r="A47" s="563" t="s">
        <v>36</v>
      </c>
    </row>
    <row r="48" spans="1:1">
      <c r="A48" s="718" t="s">
        <v>1023</v>
      </c>
    </row>
    <row r="49" spans="1:1">
      <c r="A49" s="718" t="s">
        <v>1024</v>
      </c>
    </row>
    <row r="50" spans="1:1" hidden="1">
      <c r="A50" s="563" t="s">
        <v>31</v>
      </c>
    </row>
    <row r="51" spans="1:1">
      <c r="A51" s="718" t="s">
        <v>1025</v>
      </c>
    </row>
    <row r="52" spans="1:1">
      <c r="A52" s="718" t="s">
        <v>1026</v>
      </c>
    </row>
    <row r="53" spans="1:1" hidden="1">
      <c r="A53" s="563" t="s">
        <v>21</v>
      </c>
    </row>
    <row r="54" spans="1:1" hidden="1">
      <c r="A54" s="563" t="s">
        <v>558</v>
      </c>
    </row>
    <row r="55" spans="1:1" hidden="1">
      <c r="A55" s="563" t="s">
        <v>184</v>
      </c>
    </row>
    <row r="56" spans="1:1" hidden="1">
      <c r="A56" s="565" t="s">
        <v>870</v>
      </c>
    </row>
    <row r="57" spans="1:1" hidden="1">
      <c r="A57" s="562" t="s">
        <v>41</v>
      </c>
    </row>
    <row r="58" spans="1:1">
      <c r="A58" s="717" t="s">
        <v>1027</v>
      </c>
    </row>
    <row r="59" spans="1:1">
      <c r="A59" s="717" t="s">
        <v>1028</v>
      </c>
    </row>
    <row r="60" spans="1:1">
      <c r="A60" s="717" t="s">
        <v>1029</v>
      </c>
    </row>
    <row r="61" spans="1:1">
      <c r="A61" s="717" t="s">
        <v>1030</v>
      </c>
    </row>
    <row r="62" spans="1:1">
      <c r="A62" s="717" t="s">
        <v>1031</v>
      </c>
    </row>
    <row r="63" spans="1:1">
      <c r="A63" s="717" t="s">
        <v>1032</v>
      </c>
    </row>
    <row r="64" spans="1:1">
      <c r="A64" s="717" t="s">
        <v>1033</v>
      </c>
    </row>
    <row r="65" spans="1:1">
      <c r="A65" s="717" t="s">
        <v>1034</v>
      </c>
    </row>
    <row r="66" spans="1:1">
      <c r="A66" s="717" t="s">
        <v>26</v>
      </c>
    </row>
    <row r="67" spans="1:1">
      <c r="A67" s="717" t="s">
        <v>1035</v>
      </c>
    </row>
    <row r="68" spans="1:1">
      <c r="A68" s="717" t="s">
        <v>1036</v>
      </c>
    </row>
    <row r="69" spans="1:1">
      <c r="A69" s="717" t="s">
        <v>1037</v>
      </c>
    </row>
    <row r="70" spans="1:1">
      <c r="A70" s="717" t="s">
        <v>1038</v>
      </c>
    </row>
    <row r="71" spans="1:1">
      <c r="A71" s="717" t="s">
        <v>1039</v>
      </c>
    </row>
    <row r="72" spans="1:1">
      <c r="A72" s="717" t="s">
        <v>1040</v>
      </c>
    </row>
    <row r="73" spans="1:1">
      <c r="A73" s="717" t="s">
        <v>1041</v>
      </c>
    </row>
    <row r="74" spans="1:1" hidden="1">
      <c r="A74" s="562" t="s">
        <v>27</v>
      </c>
    </row>
    <row r="75" spans="1:1">
      <c r="A75" s="717" t="s">
        <v>1042</v>
      </c>
    </row>
    <row r="76" spans="1:1" hidden="1">
      <c r="A76" s="562" t="s">
        <v>42</v>
      </c>
    </row>
    <row r="77" spans="1:1" hidden="1">
      <c r="A77" s="562" t="s">
        <v>34</v>
      </c>
    </row>
    <row r="78" spans="1:1">
      <c r="A78" s="717" t="s">
        <v>1043</v>
      </c>
    </row>
    <row r="79" spans="1:1">
      <c r="A79" s="717" t="s">
        <v>1044</v>
      </c>
    </row>
    <row r="80" spans="1:1">
      <c r="A80" s="717" t="s">
        <v>1045</v>
      </c>
    </row>
    <row r="81" spans="1:1">
      <c r="A81" s="717" t="s">
        <v>1046</v>
      </c>
    </row>
    <row r="82" spans="1:1">
      <c r="A82" s="717" t="s">
        <v>1047</v>
      </c>
    </row>
    <row r="83" spans="1:1" hidden="1">
      <c r="A83" s="562" t="s">
        <v>23</v>
      </c>
    </row>
    <row r="84" spans="1:1">
      <c r="A84" s="717" t="s">
        <v>1048</v>
      </c>
    </row>
    <row r="85" spans="1:1">
      <c r="A85" s="717" t="s">
        <v>1049</v>
      </c>
    </row>
    <row r="86" spans="1:1">
      <c r="A86" s="717" t="s">
        <v>1050</v>
      </c>
    </row>
    <row r="87" spans="1:1">
      <c r="A87" s="717" t="s">
        <v>1051</v>
      </c>
    </row>
    <row r="88" spans="1:1">
      <c r="A88" s="717" t="s">
        <v>1052</v>
      </c>
    </row>
    <row r="89" spans="1:1" hidden="1">
      <c r="A89" s="562" t="s">
        <v>549</v>
      </c>
    </row>
    <row r="90" spans="1:1">
      <c r="A90" s="717" t="s">
        <v>1053</v>
      </c>
    </row>
    <row r="91" spans="1:1">
      <c r="A91" s="717" t="s">
        <v>1054</v>
      </c>
    </row>
    <row r="92" spans="1:1">
      <c r="A92" s="717" t="s">
        <v>1055</v>
      </c>
    </row>
    <row r="93" spans="1:1">
      <c r="A93" s="717" t="s">
        <v>40</v>
      </c>
    </row>
    <row r="94" spans="1:1">
      <c r="A94" s="717" t="s">
        <v>28</v>
      </c>
    </row>
    <row r="95" spans="1:1">
      <c r="A95" s="717" t="s">
        <v>1056</v>
      </c>
    </row>
    <row r="96" spans="1:1">
      <c r="A96" s="717" t="s">
        <v>1057</v>
      </c>
    </row>
    <row r="97" spans="1:1">
      <c r="A97" s="717" t="s">
        <v>1058</v>
      </c>
    </row>
    <row r="98" spans="1:1" hidden="1">
      <c r="A98" s="562" t="s">
        <v>35</v>
      </c>
    </row>
    <row r="99" spans="1:1">
      <c r="A99" s="717" t="s">
        <v>970</v>
      </c>
    </row>
    <row r="100" spans="1:1">
      <c r="A100" s="717" t="s">
        <v>1059</v>
      </c>
    </row>
    <row r="101" spans="1:1">
      <c r="A101" s="717" t="s">
        <v>1060</v>
      </c>
    </row>
    <row r="102" spans="1:1">
      <c r="A102" s="717" t="s">
        <v>1061</v>
      </c>
    </row>
    <row r="103" spans="1:1">
      <c r="A103" s="717" t="s">
        <v>24</v>
      </c>
    </row>
    <row r="104" spans="1:1">
      <c r="A104" s="717" t="s">
        <v>1062</v>
      </c>
    </row>
    <row r="105" spans="1:1" hidden="1">
      <c r="A105" s="562" t="s">
        <v>92</v>
      </c>
    </row>
    <row r="106" spans="1:1">
      <c r="A106" s="717" t="s">
        <v>1063</v>
      </c>
    </row>
    <row r="107" spans="1:1">
      <c r="A107" s="717" t="s">
        <v>25</v>
      </c>
    </row>
    <row r="108" spans="1:1">
      <c r="A108" s="717" t="s">
        <v>1064</v>
      </c>
    </row>
    <row r="109" spans="1:1">
      <c r="A109" s="717" t="s">
        <v>1065</v>
      </c>
    </row>
    <row r="110" spans="1:1">
      <c r="A110" s="717" t="s">
        <v>1066</v>
      </c>
    </row>
    <row r="111" spans="1:1">
      <c r="A111" s="717" t="s">
        <v>1067</v>
      </c>
    </row>
    <row r="112" spans="1:1">
      <c r="A112" s="717" t="s">
        <v>1068</v>
      </c>
    </row>
    <row r="113" spans="1:1">
      <c r="A113" s="717" t="s">
        <v>1069</v>
      </c>
    </row>
    <row r="114" spans="1:1">
      <c r="A114" s="717" t="s">
        <v>1070</v>
      </c>
    </row>
    <row r="115" spans="1:1" hidden="1">
      <c r="A115" s="562" t="s">
        <v>554</v>
      </c>
    </row>
    <row r="116" spans="1:1">
      <c r="A116" s="717" t="s">
        <v>1071</v>
      </c>
    </row>
    <row r="117" spans="1:1">
      <c r="A117" s="717" t="s">
        <v>1072</v>
      </c>
    </row>
    <row r="118" spans="1:1">
      <c r="A118" s="717" t="s">
        <v>1073</v>
      </c>
    </row>
    <row r="119" spans="1:1" hidden="1">
      <c r="A119" s="562" t="s">
        <v>555</v>
      </c>
    </row>
    <row r="120" spans="1:1" hidden="1">
      <c r="A120" s="562" t="s">
        <v>556</v>
      </c>
    </row>
    <row r="121" spans="1:1" hidden="1">
      <c r="A121" s="562" t="s">
        <v>22</v>
      </c>
    </row>
    <row r="122" spans="1:1">
      <c r="A122" s="717" t="s">
        <v>1074</v>
      </c>
    </row>
    <row r="123" spans="1:1" hidden="1">
      <c r="A123" s="562" t="s">
        <v>557</v>
      </c>
    </row>
    <row r="124" spans="1:1">
      <c r="A124" s="717" t="s">
        <v>1075</v>
      </c>
    </row>
    <row r="125" spans="1:1">
      <c r="A125" s="717" t="s">
        <v>953</v>
      </c>
    </row>
    <row r="126" spans="1:1">
      <c r="A126" s="717" t="s">
        <v>1076</v>
      </c>
    </row>
    <row r="127" spans="1:1">
      <c r="A127" s="717" t="s">
        <v>1077</v>
      </c>
    </row>
    <row r="128" spans="1:1">
      <c r="A128" s="717" t="s">
        <v>1078</v>
      </c>
    </row>
    <row r="129" spans="1:1">
      <c r="A129" s="717" t="s">
        <v>1079</v>
      </c>
    </row>
    <row r="130" spans="1:1">
      <c r="A130" s="717" t="s">
        <v>1080</v>
      </c>
    </row>
    <row r="131" spans="1:1" hidden="1">
      <c r="A131" s="562" t="s">
        <v>559</v>
      </c>
    </row>
    <row r="132" spans="1:1">
      <c r="A132" s="717" t="s">
        <v>1081</v>
      </c>
    </row>
    <row r="133" spans="1:1">
      <c r="A133" s="717" t="s">
        <v>1082</v>
      </c>
    </row>
    <row r="134" spans="1:1" hidden="1">
      <c r="A134" s="562" t="s">
        <v>30</v>
      </c>
    </row>
    <row r="135" spans="1:1">
      <c r="A135" s="717" t="s">
        <v>1083</v>
      </c>
    </row>
    <row r="136" spans="1:1">
      <c r="A136" s="717" t="s">
        <v>1084</v>
      </c>
    </row>
    <row r="137" spans="1:1" hidden="1">
      <c r="A137" s="562" t="s">
        <v>56</v>
      </c>
    </row>
    <row r="138" spans="1:1">
      <c r="A138" s="717" t="s">
        <v>1085</v>
      </c>
    </row>
    <row r="139" spans="1:1">
      <c r="A139" s="717" t="s">
        <v>1086</v>
      </c>
    </row>
    <row r="140" spans="1:1" hidden="1">
      <c r="A140" s="565" t="s">
        <v>871</v>
      </c>
    </row>
    <row r="141" spans="1:1">
      <c r="A141" s="717" t="s">
        <v>1087</v>
      </c>
    </row>
    <row r="142" spans="1:1" hidden="1">
      <c r="A142" s="562" t="s">
        <v>37</v>
      </c>
    </row>
    <row r="143" spans="1:1">
      <c r="A143" s="717" t="s">
        <v>1088</v>
      </c>
    </row>
    <row r="144" spans="1:1">
      <c r="A144" s="717" t="s">
        <v>1089</v>
      </c>
    </row>
    <row r="145" spans="1:1">
      <c r="A145" s="717" t="s">
        <v>1090</v>
      </c>
    </row>
    <row r="146" spans="1:1">
      <c r="A146" s="717" t="s">
        <v>1091</v>
      </c>
    </row>
    <row r="147" spans="1:1">
      <c r="A147" s="717" t="s">
        <v>1092</v>
      </c>
    </row>
    <row r="148" spans="1:1">
      <c r="A148" s="717" t="s">
        <v>1093</v>
      </c>
    </row>
    <row r="149" spans="1:1">
      <c r="A149" s="717" t="s">
        <v>1094</v>
      </c>
    </row>
    <row r="150" spans="1:1">
      <c r="A150" s="717" t="s">
        <v>1095</v>
      </c>
    </row>
    <row r="151" spans="1:1">
      <c r="A151" s="717" t="s">
        <v>1096</v>
      </c>
    </row>
    <row r="152" spans="1:1">
      <c r="A152" s="717" t="s">
        <v>1098</v>
      </c>
    </row>
    <row r="153" spans="1:1">
      <c r="A153" s="717" t="s">
        <v>94</v>
      </c>
    </row>
    <row r="154" spans="1:1">
      <c r="A154" s="717" t="s">
        <v>1097</v>
      </c>
    </row>
    <row r="155" spans="1:1">
      <c r="A155" s="717" t="s">
        <v>1099</v>
      </c>
    </row>
    <row r="156" spans="1:1">
      <c r="A156" s="717" t="s">
        <v>1100</v>
      </c>
    </row>
    <row r="157" spans="1:1" hidden="1">
      <c r="A157" s="562" t="s">
        <v>548</v>
      </c>
    </row>
    <row r="158" spans="1:1">
      <c r="A158" s="717" t="s">
        <v>1101</v>
      </c>
    </row>
    <row r="159" spans="1:1" hidden="1">
      <c r="A159" s="562" t="s">
        <v>550</v>
      </c>
    </row>
    <row r="160" spans="1:1">
      <c r="A160" s="717" t="s">
        <v>1102</v>
      </c>
    </row>
    <row r="161" spans="1:1" hidden="1">
      <c r="A161" s="562" t="s">
        <v>566</v>
      </c>
    </row>
    <row r="162" spans="1:1">
      <c r="A162" s="717" t="s">
        <v>1103</v>
      </c>
    </row>
    <row r="163" spans="1:1" hidden="1">
      <c r="A163" s="562" t="s">
        <v>38</v>
      </c>
    </row>
    <row r="164" spans="1:1" hidden="1">
      <c r="A164" s="562" t="s">
        <v>552</v>
      </c>
    </row>
    <row r="165" spans="1:1">
      <c r="A165" s="717" t="s">
        <v>1104</v>
      </c>
    </row>
    <row r="166" spans="1:1">
      <c r="A166" s="717" t="s">
        <v>1105</v>
      </c>
    </row>
    <row r="167" spans="1:1">
      <c r="A167" s="717" t="s">
        <v>1106</v>
      </c>
    </row>
    <row r="168" spans="1:1">
      <c r="A168" s="717" t="s">
        <v>1107</v>
      </c>
    </row>
    <row r="169" spans="1:1">
      <c r="A169" s="717" t="s">
        <v>1108</v>
      </c>
    </row>
    <row r="170" spans="1:1">
      <c r="A170" s="717" t="s">
        <v>91</v>
      </c>
    </row>
    <row r="171" spans="1:1">
      <c r="A171" s="717" t="s">
        <v>1109</v>
      </c>
    </row>
    <row r="172" spans="1:1">
      <c r="A172" s="717" t="s">
        <v>1110</v>
      </c>
    </row>
    <row r="173" spans="1:1">
      <c r="A173" s="717" t="s">
        <v>1111</v>
      </c>
    </row>
    <row r="174" spans="1:1">
      <c r="A174" s="717" t="s">
        <v>1112</v>
      </c>
    </row>
    <row r="175" spans="1:1">
      <c r="A175" s="717" t="s">
        <v>1113</v>
      </c>
    </row>
    <row r="176" spans="1:1">
      <c r="A176" s="717" t="s">
        <v>912</v>
      </c>
    </row>
    <row r="177" spans="1:1">
      <c r="A177" s="717" t="s">
        <v>914</v>
      </c>
    </row>
    <row r="178" spans="1:1">
      <c r="A178" s="717" t="s">
        <v>1114</v>
      </c>
    </row>
    <row r="179" spans="1:1">
      <c r="A179" s="717" t="s">
        <v>915</v>
      </c>
    </row>
    <row r="180" spans="1:1" hidden="1">
      <c r="A180" s="562" t="s">
        <v>29</v>
      </c>
    </row>
    <row r="181" spans="1:1">
      <c r="A181" s="717" t="s">
        <v>1115</v>
      </c>
    </row>
    <row r="182" spans="1:1">
      <c r="A182" s="717" t="s">
        <v>1116</v>
      </c>
    </row>
    <row r="183" spans="1:1">
      <c r="A183" s="717" t="s">
        <v>1117</v>
      </c>
    </row>
    <row r="184" spans="1:1" hidden="1">
      <c r="A184" s="562" t="s">
        <v>93</v>
      </c>
    </row>
    <row r="185" spans="1:1">
      <c r="A185" s="717" t="s">
        <v>1118</v>
      </c>
    </row>
    <row r="186" spans="1:1">
      <c r="A186" s="717" t="s">
        <v>1119</v>
      </c>
    </row>
    <row r="187" spans="1:1">
      <c r="A187" s="717" t="s">
        <v>1120</v>
      </c>
    </row>
    <row r="188" spans="1:1">
      <c r="A188" s="717" t="s">
        <v>1121</v>
      </c>
    </row>
    <row r="189" spans="1:1">
      <c r="A189" s="717" t="s">
        <v>1122</v>
      </c>
    </row>
    <row r="190" spans="1:1">
      <c r="A190" s="717" t="s">
        <v>1123</v>
      </c>
    </row>
    <row r="191" spans="1:1">
      <c r="A191" s="717" t="s">
        <v>1124</v>
      </c>
    </row>
    <row r="192" spans="1:1">
      <c r="A192" s="717" t="s">
        <v>1125</v>
      </c>
    </row>
    <row r="193" spans="1:1">
      <c r="A193" s="717" t="s">
        <v>1126</v>
      </c>
    </row>
    <row r="194" spans="1:1">
      <c r="A194" s="717" t="s">
        <v>1127</v>
      </c>
    </row>
    <row r="195" spans="1:1">
      <c r="A195" s="717" t="s">
        <v>913</v>
      </c>
    </row>
    <row r="196" spans="1:1" hidden="1">
      <c r="A196" s="562" t="s">
        <v>33</v>
      </c>
    </row>
    <row r="197" spans="1:1">
      <c r="A197" s="717" t="s">
        <v>1128</v>
      </c>
    </row>
    <row r="198" spans="1:1">
      <c r="A198" s="717" t="s">
        <v>916</v>
      </c>
    </row>
    <row r="199" spans="1:1">
      <c r="A199" s="717" t="s">
        <v>1129</v>
      </c>
    </row>
  </sheetData>
  <autoFilter ref="A5:A199" xr:uid="{49470B5C-2893-4FA9-A4EE-A520B94DECD3}">
    <filterColumn colId="0">
      <colorFilter dxfId="0"/>
    </filterColumn>
  </autoFilter>
  <sortState xmlns:xlrd2="http://schemas.microsoft.com/office/spreadsheetml/2017/richdata2" ref="A6:A199">
    <sortCondition sortBy="icon" ref="A6"/>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4EAF-3E2F-40B0-A663-7CA97D9B3852}">
  <dimension ref="A1:L24"/>
  <sheetViews>
    <sheetView workbookViewId="0">
      <pane xSplit="1" ySplit="2" topLeftCell="B3" activePane="bottomRight" state="frozen"/>
      <selection activeCell="A17" sqref="A17"/>
      <selection pane="topRight" activeCell="A17" sqref="A17"/>
      <selection pane="bottomLeft" activeCell="A17" sqref="A17"/>
      <selection pane="bottomRight" activeCell="B11" sqref="B11"/>
    </sheetView>
  </sheetViews>
  <sheetFormatPr defaultColWidth="8.81640625" defaultRowHeight="13"/>
  <cols>
    <col min="1" max="1" width="19.81640625" style="541" customWidth="1"/>
    <col min="2" max="6" width="15.81640625" style="479" customWidth="1"/>
    <col min="7" max="8" width="11.81640625" style="479" customWidth="1"/>
    <col min="9" max="11" width="15.81640625" style="479" customWidth="1"/>
    <col min="12" max="12" width="91.81640625" style="479" customWidth="1"/>
    <col min="13" max="16384" width="8.81640625" style="479"/>
  </cols>
  <sheetData>
    <row r="1" spans="1:12" ht="13" customHeight="1">
      <c r="B1" s="1359" t="s">
        <v>661</v>
      </c>
      <c r="C1" s="1363" t="s">
        <v>662</v>
      </c>
      <c r="D1" s="1363" t="s">
        <v>663</v>
      </c>
      <c r="E1" s="1365" t="s">
        <v>664</v>
      </c>
      <c r="F1" s="1366"/>
      <c r="G1" s="1366"/>
      <c r="H1" s="1367"/>
      <c r="I1" s="1359" t="s">
        <v>665</v>
      </c>
      <c r="J1" s="1359" t="s">
        <v>666</v>
      </c>
      <c r="K1" s="1359" t="s">
        <v>667</v>
      </c>
      <c r="L1" s="1361" t="s">
        <v>668</v>
      </c>
    </row>
    <row r="2" spans="1:12" ht="38.15" customHeight="1">
      <c r="B2" s="1360"/>
      <c r="C2" s="1364"/>
      <c r="D2" s="1364"/>
      <c r="E2" s="542" t="s">
        <v>669</v>
      </c>
      <c r="F2" s="542" t="s">
        <v>670</v>
      </c>
      <c r="G2" s="542" t="s">
        <v>671</v>
      </c>
      <c r="H2" s="542" t="s">
        <v>672</v>
      </c>
      <c r="I2" s="1360"/>
      <c r="J2" s="1360"/>
      <c r="K2" s="1360"/>
      <c r="L2" s="1362" t="s">
        <v>673</v>
      </c>
    </row>
    <row r="4" spans="1:12" ht="88.5">
      <c r="A4" s="543" t="s">
        <v>9</v>
      </c>
      <c r="B4" s="544"/>
      <c r="C4" s="544"/>
      <c r="D4" s="544">
        <v>30</v>
      </c>
      <c r="F4" s="544"/>
      <c r="G4" s="544"/>
      <c r="H4" s="544"/>
      <c r="I4" s="544" t="s">
        <v>452</v>
      </c>
      <c r="J4" s="544">
        <v>100</v>
      </c>
      <c r="K4" s="544">
        <f>700-J4-D4</f>
        <v>570</v>
      </c>
      <c r="L4" s="363" t="s">
        <v>674</v>
      </c>
    </row>
    <row r="5" spans="1:12" ht="38.5">
      <c r="A5" s="543" t="s">
        <v>0</v>
      </c>
      <c r="B5" s="544" t="s">
        <v>675</v>
      </c>
      <c r="C5" s="544">
        <v>205.3</v>
      </c>
      <c r="D5" s="544"/>
      <c r="F5" s="544"/>
      <c r="G5" s="544"/>
      <c r="H5" s="544">
        <v>15</v>
      </c>
      <c r="I5" s="544">
        <v>20</v>
      </c>
      <c r="J5" s="544"/>
      <c r="K5" s="544">
        <v>40</v>
      </c>
      <c r="L5" s="363" t="s">
        <v>676</v>
      </c>
    </row>
    <row r="6" spans="1:12" ht="101">
      <c r="A6" s="543" t="s">
        <v>10</v>
      </c>
      <c r="B6" s="544">
        <v>40</v>
      </c>
      <c r="C6" s="544">
        <f>338.3-B6-E6-D6</f>
        <v>127.10000000000002</v>
      </c>
      <c r="D6" s="544">
        <f>39-5</f>
        <v>34</v>
      </c>
      <c r="E6" s="544">
        <f>132.2+5</f>
        <v>137.19999999999999</v>
      </c>
      <c r="F6" s="544"/>
      <c r="G6" s="544"/>
      <c r="H6" s="544"/>
      <c r="I6" s="544">
        <v>34</v>
      </c>
      <c r="J6" s="544"/>
      <c r="K6" s="544">
        <f>60+212</f>
        <v>272</v>
      </c>
      <c r="L6" s="363" t="s">
        <v>677</v>
      </c>
    </row>
    <row r="7" spans="1:12" ht="26">
      <c r="A7" s="543" t="s">
        <v>1</v>
      </c>
      <c r="B7" s="544">
        <v>4</v>
      </c>
      <c r="C7" s="544">
        <v>116</v>
      </c>
      <c r="D7" s="544"/>
      <c r="E7" s="544"/>
      <c r="F7" s="544"/>
      <c r="G7" s="544"/>
      <c r="H7" s="544">
        <f>85</f>
        <v>85</v>
      </c>
      <c r="I7" s="544">
        <v>70</v>
      </c>
      <c r="J7" s="544"/>
      <c r="K7" s="544"/>
      <c r="L7" s="363" t="s">
        <v>678</v>
      </c>
    </row>
    <row r="8" spans="1:12" ht="63.5">
      <c r="A8" s="545" t="s">
        <v>454</v>
      </c>
      <c r="B8" s="546">
        <v>110</v>
      </c>
      <c r="C8" s="546"/>
      <c r="D8" s="546"/>
      <c r="E8" s="546">
        <v>22.2</v>
      </c>
      <c r="F8" s="546"/>
      <c r="G8" s="546"/>
      <c r="H8" s="546"/>
      <c r="I8" s="544">
        <v>400</v>
      </c>
      <c r="J8" s="546"/>
      <c r="K8" s="547">
        <f>2290+140+0.35</f>
        <v>2430.35</v>
      </c>
      <c r="L8" s="363" t="s">
        <v>679</v>
      </c>
    </row>
    <row r="9" spans="1:12" ht="51">
      <c r="A9" s="545" t="s">
        <v>680</v>
      </c>
      <c r="B9" s="544">
        <v>4.7500000000000001E-2</v>
      </c>
      <c r="C9" s="544"/>
      <c r="D9" s="544"/>
      <c r="E9" s="544"/>
      <c r="F9" s="544"/>
      <c r="G9" s="544"/>
      <c r="H9" s="544"/>
      <c r="I9" s="544">
        <v>65</v>
      </c>
      <c r="J9" s="544"/>
      <c r="K9" s="548">
        <f>37+100</f>
        <v>137</v>
      </c>
      <c r="L9" s="363" t="s">
        <v>681</v>
      </c>
    </row>
    <row r="10" spans="1:12" ht="51">
      <c r="A10" s="543" t="s">
        <v>2</v>
      </c>
      <c r="B10" s="544">
        <v>8</v>
      </c>
      <c r="C10" s="544"/>
      <c r="D10" s="544"/>
      <c r="E10" s="544"/>
      <c r="F10" s="544"/>
      <c r="G10" s="544"/>
      <c r="H10" s="544">
        <f>48.5+21</f>
        <v>69.5</v>
      </c>
      <c r="I10" s="544">
        <v>315</v>
      </c>
      <c r="J10" s="544"/>
      <c r="K10" s="544">
        <f>34</f>
        <v>34</v>
      </c>
      <c r="L10" s="363" t="s">
        <v>682</v>
      </c>
    </row>
    <row r="11" spans="1:12" ht="51">
      <c r="A11" s="543" t="s">
        <v>3</v>
      </c>
      <c r="B11" s="544">
        <v>19.8</v>
      </c>
      <c r="C11" s="544"/>
      <c r="D11" s="544"/>
      <c r="E11" s="544">
        <v>9</v>
      </c>
      <c r="F11" s="544"/>
      <c r="G11" s="544"/>
      <c r="H11" s="544">
        <f>100+100</f>
        <v>200</v>
      </c>
      <c r="I11" s="544">
        <f>860</f>
        <v>860</v>
      </c>
      <c r="J11" s="544"/>
      <c r="K11" s="544">
        <f>124</f>
        <v>124</v>
      </c>
      <c r="L11" s="363" t="s">
        <v>683</v>
      </c>
    </row>
    <row r="12" spans="1:12" ht="26">
      <c r="A12" s="545" t="s">
        <v>12</v>
      </c>
      <c r="B12" s="544" t="s">
        <v>684</v>
      </c>
      <c r="C12" s="544"/>
      <c r="D12" s="544"/>
      <c r="E12" s="544">
        <f>500+200+3000+160+1000+100</f>
        <v>4960</v>
      </c>
      <c r="F12" s="544"/>
      <c r="G12" s="544"/>
      <c r="H12" s="544">
        <f>3000+750+321</f>
        <v>4071</v>
      </c>
      <c r="I12" s="544">
        <v>900</v>
      </c>
      <c r="J12" s="544"/>
      <c r="K12" s="544">
        <f>2292.5+680</f>
        <v>2972.5</v>
      </c>
      <c r="L12" s="363" t="s">
        <v>685</v>
      </c>
    </row>
    <row r="13" spans="1:12" ht="26">
      <c r="A13" s="545" t="s">
        <v>13</v>
      </c>
      <c r="B13" s="544" t="s">
        <v>686</v>
      </c>
      <c r="C13" s="544"/>
      <c r="D13" s="544"/>
      <c r="E13" s="544"/>
      <c r="F13" s="544"/>
      <c r="G13" s="544"/>
      <c r="H13" s="544"/>
      <c r="I13" s="544">
        <v>150</v>
      </c>
      <c r="J13" s="544"/>
      <c r="K13" s="544">
        <f>110+33</f>
        <v>143</v>
      </c>
      <c r="L13" s="363" t="s">
        <v>687</v>
      </c>
    </row>
    <row r="14" spans="1:12" ht="14.5">
      <c r="A14" s="543" t="s">
        <v>4</v>
      </c>
      <c r="B14" s="544">
        <v>6.5</v>
      </c>
      <c r="C14" s="544">
        <f>25+1.5</f>
        <v>26.5</v>
      </c>
      <c r="D14" s="544"/>
      <c r="E14" s="544">
        <v>15</v>
      </c>
      <c r="F14" s="544"/>
      <c r="G14" s="544"/>
      <c r="H14" s="544"/>
      <c r="I14" s="544">
        <v>530</v>
      </c>
      <c r="J14" s="544"/>
      <c r="K14" s="544">
        <f>2+7.6</f>
        <v>9.6</v>
      </c>
      <c r="L14" s="363" t="s">
        <v>688</v>
      </c>
    </row>
    <row r="15" spans="1:12" ht="63.5">
      <c r="A15" s="543" t="s">
        <v>5</v>
      </c>
      <c r="B15" s="544">
        <v>2</v>
      </c>
      <c r="C15" s="544">
        <f>12.9</f>
        <v>12.9</v>
      </c>
      <c r="D15" s="544">
        <v>0.9</v>
      </c>
      <c r="E15" s="544">
        <v>2.2999999999999998</v>
      </c>
      <c r="F15" s="544"/>
      <c r="G15" s="544"/>
      <c r="H15" s="544">
        <v>3.8</v>
      </c>
      <c r="I15" s="544">
        <f>2+53.3</f>
        <v>55.3</v>
      </c>
      <c r="J15" s="544">
        <v>10.8</v>
      </c>
      <c r="K15" s="544">
        <f>117.1-12.9-2.3-3.8-0.9-10.8</f>
        <v>86.399999999999991</v>
      </c>
      <c r="L15" s="363" t="s">
        <v>689</v>
      </c>
    </row>
    <row r="16" spans="1:12" ht="176">
      <c r="A16" s="543" t="s">
        <v>453</v>
      </c>
      <c r="B16" s="544">
        <v>3</v>
      </c>
      <c r="C16" s="549">
        <f>14.3+10.1+3.5+0.6+0.9+2</f>
        <v>31.4</v>
      </c>
      <c r="D16" s="544"/>
      <c r="E16" s="544">
        <f>156+12.2+5.5+3+7.9</f>
        <v>184.6</v>
      </c>
      <c r="F16" s="544"/>
      <c r="G16" s="544"/>
      <c r="H16" s="544">
        <f>1+2.1</f>
        <v>3.1</v>
      </c>
      <c r="I16" s="544">
        <f>4.1+36+6</f>
        <v>46.1</v>
      </c>
      <c r="J16" s="544">
        <f>1.2</f>
        <v>1.2</v>
      </c>
      <c r="K16" s="544">
        <f>3.1+8.5</f>
        <v>11.6</v>
      </c>
      <c r="L16" s="363" t="s">
        <v>690</v>
      </c>
    </row>
    <row r="17" spans="1:12" ht="51">
      <c r="A17" s="543" t="s">
        <v>14</v>
      </c>
      <c r="B17" s="544">
        <v>40</v>
      </c>
      <c r="C17" s="544"/>
      <c r="D17" s="544"/>
      <c r="F17" s="544"/>
      <c r="G17" s="544"/>
      <c r="H17" s="544">
        <v>85.2</v>
      </c>
      <c r="I17" s="544" t="s">
        <v>452</v>
      </c>
      <c r="J17" s="544"/>
      <c r="K17" s="544">
        <f>180-40</f>
        <v>140</v>
      </c>
      <c r="L17" s="363" t="s">
        <v>691</v>
      </c>
    </row>
    <row r="18" spans="1:12" ht="63.5">
      <c r="A18" s="543" t="s">
        <v>455</v>
      </c>
      <c r="B18" s="544">
        <v>232</v>
      </c>
      <c r="C18" s="544"/>
      <c r="D18" s="544"/>
      <c r="E18" s="544">
        <v>500</v>
      </c>
      <c r="F18" s="544"/>
      <c r="G18" s="544"/>
      <c r="H18" s="544"/>
      <c r="I18" s="544">
        <v>730</v>
      </c>
      <c r="J18" s="544"/>
      <c r="K18" s="544">
        <f>1882-B18+70</f>
        <v>1720</v>
      </c>
      <c r="L18" s="363" t="s">
        <v>692</v>
      </c>
    </row>
    <row r="19" spans="1:12" ht="101">
      <c r="A19" s="543" t="s">
        <v>16</v>
      </c>
      <c r="B19" s="544">
        <v>47</v>
      </c>
      <c r="C19" s="544">
        <v>4</v>
      </c>
      <c r="D19" s="544">
        <f>5+9</f>
        <v>14</v>
      </c>
      <c r="E19" s="544">
        <f>13</f>
        <v>13</v>
      </c>
      <c r="F19" s="544"/>
      <c r="G19" s="544"/>
      <c r="H19" s="544">
        <f>0.9</f>
        <v>0.9</v>
      </c>
      <c r="I19" s="544">
        <v>0</v>
      </c>
      <c r="J19" s="544"/>
      <c r="K19" s="544">
        <f>48</f>
        <v>48</v>
      </c>
      <c r="L19" s="363" t="s">
        <v>693</v>
      </c>
    </row>
    <row r="20" spans="1:12" ht="88.5">
      <c r="A20" s="543" t="s">
        <v>32</v>
      </c>
      <c r="B20" s="544">
        <v>4</v>
      </c>
      <c r="C20" s="544">
        <v>12</v>
      </c>
      <c r="D20" s="544"/>
      <c r="E20" s="544">
        <f>100</f>
        <v>100</v>
      </c>
      <c r="F20" s="544"/>
      <c r="G20" s="544">
        <v>2</v>
      </c>
      <c r="H20" s="544">
        <v>2</v>
      </c>
      <c r="I20" s="544">
        <v>10</v>
      </c>
      <c r="J20" s="544"/>
      <c r="K20" s="544"/>
      <c r="L20" s="363" t="s">
        <v>694</v>
      </c>
    </row>
    <row r="21" spans="1:12" ht="51">
      <c r="A21" s="543" t="s">
        <v>17</v>
      </c>
      <c r="B21" s="544">
        <v>20</v>
      </c>
      <c r="C21" s="544">
        <v>30</v>
      </c>
      <c r="D21" s="544">
        <v>0</v>
      </c>
      <c r="E21" s="544"/>
      <c r="F21" s="544"/>
      <c r="G21" s="544"/>
      <c r="H21" s="544"/>
      <c r="I21" s="544">
        <v>200</v>
      </c>
      <c r="J21" s="544"/>
      <c r="K21" s="544">
        <f>500-20-30</f>
        <v>450</v>
      </c>
      <c r="L21" s="363" t="s">
        <v>695</v>
      </c>
    </row>
    <row r="22" spans="1:12" ht="51">
      <c r="A22" s="543" t="s">
        <v>18</v>
      </c>
      <c r="B22" s="544" t="s">
        <v>452</v>
      </c>
      <c r="C22" s="544">
        <v>2</v>
      </c>
      <c r="D22" s="544"/>
      <c r="E22" s="544"/>
      <c r="F22" s="544"/>
      <c r="G22" s="544"/>
      <c r="H22" s="544"/>
      <c r="I22" s="544">
        <v>50</v>
      </c>
      <c r="J22" s="544"/>
      <c r="K22" s="544">
        <f>100-50-2</f>
        <v>48</v>
      </c>
      <c r="L22" s="363" t="s">
        <v>696</v>
      </c>
    </row>
    <row r="23" spans="1:12" ht="76">
      <c r="A23" s="543" t="s">
        <v>7</v>
      </c>
      <c r="B23" s="544">
        <v>6.6</v>
      </c>
      <c r="C23" s="544"/>
      <c r="D23" s="544"/>
      <c r="E23" s="544">
        <v>200</v>
      </c>
      <c r="F23" s="544"/>
      <c r="G23" s="544"/>
      <c r="H23" s="544"/>
      <c r="I23" s="544"/>
      <c r="J23" s="544"/>
      <c r="K23" s="544">
        <f>91-6.6</f>
        <v>84.4</v>
      </c>
      <c r="L23" s="363" t="s">
        <v>697</v>
      </c>
    </row>
    <row r="24" spans="1:12" ht="51">
      <c r="A24" s="545" t="s">
        <v>8</v>
      </c>
      <c r="B24" s="544">
        <v>304</v>
      </c>
      <c r="C24" s="479">
        <f>38.8+268+540</f>
        <v>846.8</v>
      </c>
      <c r="E24" s="479">
        <f>349</f>
        <v>349</v>
      </c>
      <c r="H24" s="479">
        <v>56</v>
      </c>
      <c r="I24" s="479">
        <v>454</v>
      </c>
      <c r="J24" s="544"/>
      <c r="K24" s="544">
        <v>440</v>
      </c>
      <c r="L24" s="363" t="s">
        <v>698</v>
      </c>
    </row>
  </sheetData>
  <mergeCells count="8">
    <mergeCell ref="K1:K2"/>
    <mergeCell ref="L1:L2"/>
    <mergeCell ref="B1:B2"/>
    <mergeCell ref="C1:C2"/>
    <mergeCell ref="D1:D2"/>
    <mergeCell ref="E1:H1"/>
    <mergeCell ref="I1:I2"/>
    <mergeCell ref="J1:J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E632C-A780-4779-81C0-0161981143CE}">
  <dimension ref="A1:R15"/>
  <sheetViews>
    <sheetView workbookViewId="0">
      <selection activeCell="A17" sqref="A17"/>
    </sheetView>
  </sheetViews>
  <sheetFormatPr defaultColWidth="8.81640625" defaultRowHeight="12.5"/>
  <cols>
    <col min="1" max="1" width="8.81640625" style="479" customWidth="1"/>
    <col min="2" max="16384" width="8.81640625" style="479"/>
  </cols>
  <sheetData>
    <row r="1" spans="1:18" ht="13">
      <c r="A1" s="351" t="s">
        <v>699</v>
      </c>
      <c r="B1" s="352"/>
      <c r="C1" s="352"/>
      <c r="D1" s="352"/>
      <c r="E1" s="352"/>
      <c r="F1" s="352"/>
      <c r="G1" s="352"/>
      <c r="H1" s="352"/>
      <c r="I1" s="352"/>
      <c r="J1" s="352"/>
      <c r="K1" s="352"/>
      <c r="L1" s="352"/>
      <c r="M1" s="352"/>
      <c r="N1" s="352"/>
      <c r="O1" s="352"/>
      <c r="P1" s="352"/>
      <c r="Q1" s="352"/>
      <c r="R1" s="352"/>
    </row>
    <row r="2" spans="1:18">
      <c r="A2" s="352"/>
      <c r="B2" s="352"/>
      <c r="C2" s="352"/>
      <c r="D2" s="352"/>
      <c r="E2" s="352"/>
      <c r="F2" s="352"/>
      <c r="G2" s="352"/>
      <c r="H2" s="352"/>
      <c r="I2" s="352"/>
      <c r="J2" s="352"/>
      <c r="K2" s="352"/>
      <c r="L2" s="352"/>
      <c r="M2" s="352"/>
      <c r="N2" s="352"/>
      <c r="O2" s="352"/>
      <c r="P2" s="352"/>
      <c r="Q2" s="352"/>
      <c r="R2" s="352"/>
    </row>
    <row r="3" spans="1:18">
      <c r="A3" s="7" t="s">
        <v>700</v>
      </c>
      <c r="B3" s="352"/>
      <c r="C3" s="352"/>
      <c r="D3" s="352"/>
      <c r="E3" s="352"/>
      <c r="F3" s="352"/>
      <c r="G3" s="352"/>
      <c r="H3" s="352"/>
      <c r="I3" s="352"/>
      <c r="J3" s="352"/>
      <c r="K3" s="352"/>
      <c r="L3" s="352"/>
      <c r="M3" s="352"/>
      <c r="N3" s="352"/>
      <c r="O3" s="352"/>
      <c r="P3" s="352"/>
      <c r="Q3" s="352"/>
      <c r="R3" s="352"/>
    </row>
    <row r="4" spans="1:18">
      <c r="A4" s="352"/>
      <c r="B4" s="352"/>
      <c r="C4" s="352"/>
      <c r="D4" s="352"/>
      <c r="E4" s="352"/>
      <c r="F4" s="352"/>
      <c r="G4" s="352"/>
      <c r="H4" s="352"/>
      <c r="I4" s="352"/>
      <c r="J4" s="352"/>
      <c r="K4" s="352"/>
      <c r="L4" s="352"/>
      <c r="M4" s="352"/>
      <c r="N4" s="352"/>
      <c r="O4" s="352"/>
      <c r="P4" s="352"/>
      <c r="Q4" s="352"/>
      <c r="R4" s="352"/>
    </row>
    <row r="5" spans="1:18">
      <c r="A5" s="1368" t="s">
        <v>701</v>
      </c>
      <c r="B5" s="1368"/>
      <c r="C5" s="1368"/>
      <c r="D5" s="1368"/>
      <c r="E5" s="1368"/>
      <c r="F5" s="1368"/>
      <c r="G5" s="1368"/>
      <c r="H5" s="1368"/>
      <c r="I5" s="1368"/>
      <c r="J5" s="1368"/>
      <c r="K5" s="1368"/>
      <c r="L5" s="1368"/>
      <c r="M5" s="1368"/>
      <c r="N5" s="1368"/>
      <c r="O5" s="1368"/>
      <c r="P5" s="1368"/>
      <c r="Q5" s="1368"/>
      <c r="R5" s="1368"/>
    </row>
    <row r="6" spans="1:18">
      <c r="A6" s="1368"/>
      <c r="B6" s="1368"/>
      <c r="C6" s="1368"/>
      <c r="D6" s="1368"/>
      <c r="E6" s="1368"/>
      <c r="F6" s="1368"/>
      <c r="G6" s="1368"/>
      <c r="H6" s="1368"/>
      <c r="I6" s="1368"/>
      <c r="J6" s="1368"/>
      <c r="K6" s="1368"/>
      <c r="L6" s="1368"/>
      <c r="M6" s="1368"/>
      <c r="N6" s="1368"/>
      <c r="O6" s="1368"/>
      <c r="P6" s="1368"/>
      <c r="Q6" s="1368"/>
      <c r="R6" s="1368"/>
    </row>
    <row r="7" spans="1:18">
      <c r="A7" s="352"/>
      <c r="B7" s="352"/>
      <c r="C7" s="352"/>
      <c r="D7" s="352"/>
      <c r="E7" s="352"/>
      <c r="F7" s="352"/>
      <c r="G7" s="352"/>
      <c r="H7" s="352"/>
      <c r="I7" s="352"/>
      <c r="J7" s="352"/>
      <c r="K7" s="352"/>
      <c r="L7" s="352"/>
      <c r="M7" s="352"/>
      <c r="N7" s="352"/>
      <c r="O7" s="352"/>
      <c r="P7" s="352"/>
      <c r="Q7" s="352"/>
      <c r="R7" s="352"/>
    </row>
    <row r="8" spans="1:18">
      <c r="A8" s="7" t="s">
        <v>702</v>
      </c>
      <c r="B8" s="352"/>
      <c r="C8" s="352"/>
      <c r="D8" s="352"/>
      <c r="E8" s="352"/>
      <c r="F8" s="352"/>
      <c r="G8" s="352"/>
      <c r="H8" s="352"/>
      <c r="I8" s="352"/>
      <c r="J8" s="352"/>
      <c r="K8" s="352"/>
      <c r="L8" s="352"/>
      <c r="M8" s="352"/>
      <c r="N8" s="352"/>
      <c r="O8" s="352"/>
      <c r="P8" s="352"/>
      <c r="Q8" s="352"/>
      <c r="R8" s="352"/>
    </row>
    <row r="9" spans="1:18">
      <c r="A9" s="352"/>
      <c r="B9" s="352"/>
      <c r="C9" s="352"/>
      <c r="D9" s="352"/>
      <c r="E9" s="352"/>
      <c r="F9" s="352"/>
      <c r="G9" s="352"/>
      <c r="H9" s="352"/>
      <c r="I9" s="352"/>
      <c r="J9" s="352"/>
      <c r="K9" s="352"/>
      <c r="L9" s="352"/>
      <c r="M9" s="352"/>
      <c r="N9" s="352"/>
      <c r="O9" s="352"/>
      <c r="P9" s="352"/>
      <c r="Q9" s="352"/>
      <c r="R9" s="352"/>
    </row>
    <row r="10" spans="1:18">
      <c r="A10" s="1368" t="s">
        <v>703</v>
      </c>
      <c r="B10" s="1368"/>
      <c r="C10" s="1368"/>
      <c r="D10" s="1368"/>
      <c r="E10" s="1368"/>
      <c r="F10" s="1368"/>
      <c r="G10" s="1368"/>
      <c r="H10" s="1368"/>
      <c r="I10" s="1368"/>
      <c r="J10" s="1368"/>
      <c r="K10" s="1368"/>
      <c r="L10" s="1368"/>
      <c r="M10" s="1368"/>
      <c r="N10" s="1368"/>
      <c r="O10" s="1368"/>
      <c r="P10" s="1368"/>
      <c r="Q10" s="1368"/>
      <c r="R10" s="1368"/>
    </row>
    <row r="11" spans="1:18">
      <c r="A11" s="1368"/>
      <c r="B11" s="1368"/>
      <c r="C11" s="1368"/>
      <c r="D11" s="1368"/>
      <c r="E11" s="1368"/>
      <c r="F11" s="1368"/>
      <c r="G11" s="1368"/>
      <c r="H11" s="1368"/>
      <c r="I11" s="1368"/>
      <c r="J11" s="1368"/>
      <c r="K11" s="1368"/>
      <c r="L11" s="1368"/>
      <c r="M11" s="1368"/>
      <c r="N11" s="1368"/>
      <c r="O11" s="1368"/>
      <c r="P11" s="1368"/>
      <c r="Q11" s="1368"/>
      <c r="R11" s="1368"/>
    </row>
    <row r="12" spans="1:18">
      <c r="A12" s="352"/>
      <c r="B12" s="352"/>
      <c r="C12" s="352"/>
      <c r="D12" s="352"/>
      <c r="E12" s="352"/>
      <c r="F12" s="352"/>
      <c r="G12" s="352"/>
      <c r="H12" s="352"/>
      <c r="I12" s="352"/>
      <c r="J12" s="352"/>
      <c r="K12" s="352"/>
      <c r="L12" s="352"/>
      <c r="M12" s="352"/>
      <c r="N12" s="352"/>
      <c r="O12" s="352"/>
      <c r="P12" s="352"/>
      <c r="Q12" s="352"/>
      <c r="R12" s="352"/>
    </row>
    <row r="13" spans="1:18">
      <c r="A13" s="7" t="s">
        <v>704</v>
      </c>
      <c r="B13" s="352"/>
      <c r="C13" s="352"/>
      <c r="D13" s="352"/>
      <c r="E13" s="352"/>
      <c r="F13" s="352"/>
      <c r="G13" s="352"/>
      <c r="H13" s="352"/>
      <c r="I13" s="352"/>
      <c r="J13" s="352"/>
      <c r="K13" s="352"/>
      <c r="L13" s="352"/>
      <c r="M13" s="352"/>
      <c r="N13" s="352"/>
      <c r="O13" s="352"/>
      <c r="P13" s="352"/>
      <c r="Q13" s="352"/>
      <c r="R13" s="352"/>
    </row>
    <row r="14" spans="1:18">
      <c r="A14" s="352"/>
      <c r="B14" s="352"/>
      <c r="C14" s="352"/>
      <c r="D14" s="352"/>
      <c r="E14" s="352"/>
      <c r="F14" s="352"/>
      <c r="G14" s="352"/>
      <c r="H14" s="352"/>
      <c r="I14" s="352"/>
      <c r="J14" s="352"/>
      <c r="K14" s="352"/>
      <c r="L14" s="352"/>
      <c r="M14" s="352"/>
      <c r="N14" s="352"/>
      <c r="O14" s="352"/>
      <c r="P14" s="352"/>
      <c r="Q14" s="352"/>
      <c r="R14" s="352"/>
    </row>
    <row r="15" spans="1:18">
      <c r="A15" s="7" t="s">
        <v>705</v>
      </c>
      <c r="B15" s="352"/>
      <c r="C15" s="352"/>
      <c r="D15" s="352"/>
      <c r="E15" s="352"/>
      <c r="F15" s="352"/>
      <c r="G15" s="352"/>
      <c r="H15" s="352"/>
      <c r="I15" s="352"/>
      <c r="J15" s="352"/>
      <c r="K15" s="352"/>
      <c r="L15" s="352"/>
      <c r="M15" s="352"/>
      <c r="N15" s="352"/>
      <c r="O15" s="352"/>
      <c r="P15" s="352"/>
      <c r="Q15" s="352"/>
      <c r="R15" s="352"/>
    </row>
  </sheetData>
  <mergeCells count="2">
    <mergeCell ref="A5:R6"/>
    <mergeCell ref="A10:R1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CBEA-BEB5-4046-B5F1-CB8371A6C9B3}">
  <sheetPr>
    <tabColor rgb="FFFF0000"/>
    <pageSetUpPr fitToPage="1"/>
  </sheetPr>
  <dimension ref="A3:Z150"/>
  <sheetViews>
    <sheetView view="pageBreakPreview" topLeftCell="A34" zoomScale="104" zoomScaleNormal="100" zoomScaleSheetLayoutView="104" workbookViewId="0">
      <selection activeCell="H34" sqref="H34:H36"/>
    </sheetView>
  </sheetViews>
  <sheetFormatPr defaultColWidth="8.54296875" defaultRowHeight="12.5" outlineLevelCol="1"/>
  <cols>
    <col min="1" max="1" width="5.81640625" style="42" customWidth="1"/>
    <col min="2" max="2" width="1.453125" style="55" customWidth="1"/>
    <col min="3" max="3" width="4" style="35" bestFit="1" customWidth="1"/>
    <col min="4" max="4" width="11.453125" style="246" bestFit="1" customWidth="1"/>
    <col min="5" max="5" width="8.453125" style="33" hidden="1" customWidth="1" outlineLevel="1"/>
    <col min="6" max="6" width="29.54296875" style="55" customWidth="1" collapsed="1"/>
    <col min="7" max="7" width="7.54296875" style="55" hidden="1" customWidth="1" outlineLevel="1"/>
    <col min="8" max="8" width="48.453125" style="35" customWidth="1" collapsed="1"/>
    <col min="9" max="9" width="6.1796875" style="35" customWidth="1"/>
    <col min="10" max="10" width="36.54296875" style="35" customWidth="1"/>
    <col min="11" max="11" width="1.453125" style="55" customWidth="1"/>
    <col min="12" max="12" width="4" style="35" bestFit="1" customWidth="1"/>
    <col min="13" max="13" width="8.453125" style="55" hidden="1" customWidth="1" outlineLevel="1"/>
    <col min="14" max="14" width="10.453125" style="261" bestFit="1" customWidth="1" collapsed="1"/>
    <col min="15" max="15" width="32.1796875" style="35" customWidth="1"/>
    <col min="16" max="16" width="1.453125" style="55" customWidth="1"/>
    <col min="17" max="17" width="4" style="35" bestFit="1" customWidth="1"/>
    <col min="18" max="18" width="10.453125" style="246" customWidth="1"/>
    <col min="19" max="19" width="35.453125" style="35" customWidth="1"/>
    <col min="20" max="20" width="7.453125" style="35" customWidth="1"/>
    <col min="21" max="21" width="31.453125" style="35" customWidth="1"/>
    <col min="22" max="22" width="1.54296875" style="55" customWidth="1"/>
    <col min="23" max="23" width="38" style="35" hidden="1" customWidth="1"/>
    <col min="24" max="24" width="2.54296875" style="55" customWidth="1"/>
    <col min="25" max="25" width="52.453125" style="460" customWidth="1"/>
    <col min="26" max="26" width="31.453125" style="33" customWidth="1"/>
    <col min="27" max="16384" width="8.54296875" style="33"/>
  </cols>
  <sheetData>
    <row r="3" spans="1:26" ht="23">
      <c r="A3" s="127" t="s">
        <v>125</v>
      </c>
    </row>
    <row r="4" spans="1:26" ht="146.5" customHeight="1">
      <c r="A4" s="1251" t="s">
        <v>464</v>
      </c>
      <c r="B4" s="1251"/>
      <c r="C4" s="1251"/>
      <c r="D4" s="1251"/>
      <c r="E4" s="1251"/>
      <c r="F4" s="1251"/>
      <c r="G4" s="1251"/>
      <c r="H4" s="1251"/>
      <c r="I4" s="1251"/>
      <c r="J4" s="1251"/>
      <c r="K4" s="1251"/>
      <c r="L4" s="1251"/>
      <c r="M4" s="1251"/>
      <c r="N4" s="1251"/>
      <c r="O4" s="1251"/>
      <c r="P4" s="1251"/>
      <c r="Q4" s="1251"/>
      <c r="R4" s="1251"/>
      <c r="S4" s="1251"/>
      <c r="T4" s="463"/>
      <c r="U4" s="463"/>
    </row>
    <row r="5" spans="1:26" ht="20">
      <c r="A5" s="123" t="s">
        <v>465</v>
      </c>
      <c r="C5" s="44"/>
      <c r="D5" s="247"/>
    </row>
    <row r="6" spans="1:26" s="2" customFormat="1">
      <c r="A6" s="107"/>
      <c r="B6" s="52"/>
      <c r="C6" s="12"/>
      <c r="D6" s="248"/>
      <c r="F6" s="52"/>
      <c r="G6" s="52"/>
      <c r="H6" s="12"/>
      <c r="I6" s="12"/>
      <c r="J6" s="12"/>
      <c r="K6" s="52"/>
      <c r="L6" s="12"/>
      <c r="M6" s="52"/>
      <c r="N6" s="262"/>
      <c r="O6" s="12"/>
      <c r="P6" s="52"/>
      <c r="Q6" s="12"/>
      <c r="R6" s="248"/>
      <c r="S6" s="12"/>
      <c r="T6" s="12"/>
      <c r="U6" s="12"/>
      <c r="V6" s="52"/>
      <c r="W6" s="12"/>
      <c r="X6" s="52"/>
      <c r="Y6" s="461"/>
    </row>
    <row r="7" spans="1:26" ht="13">
      <c r="C7" s="1234" t="s">
        <v>207</v>
      </c>
      <c r="D7" s="1234"/>
      <c r="E7" s="1234"/>
      <c r="F7" s="1234"/>
      <c r="G7" s="1234"/>
      <c r="H7" s="1234"/>
      <c r="I7" s="1234"/>
      <c r="J7" s="1234"/>
      <c r="L7" s="1183" t="s">
        <v>208</v>
      </c>
      <c r="M7" s="1183"/>
      <c r="N7" s="1183"/>
      <c r="O7" s="1183"/>
      <c r="Q7" s="1183" t="s">
        <v>211</v>
      </c>
      <c r="R7" s="1183"/>
      <c r="S7" s="1183"/>
      <c r="T7" s="1183"/>
      <c r="U7" s="1183"/>
      <c r="V7" s="43"/>
      <c r="W7" s="47" t="s">
        <v>60</v>
      </c>
      <c r="Y7" s="46" t="s">
        <v>43</v>
      </c>
    </row>
    <row r="8" spans="1:26" s="5" customFormat="1" ht="52" customHeight="1">
      <c r="A8" s="65"/>
      <c r="B8" s="61"/>
      <c r="C8" s="461"/>
      <c r="D8" s="249" t="s">
        <v>195</v>
      </c>
      <c r="E8" s="101" t="s">
        <v>107</v>
      </c>
      <c r="F8" s="65" t="s">
        <v>346</v>
      </c>
      <c r="G8" s="101" t="s">
        <v>107</v>
      </c>
      <c r="H8" s="65" t="s">
        <v>345</v>
      </c>
      <c r="I8" s="65" t="s">
        <v>107</v>
      </c>
      <c r="J8" s="65" t="s">
        <v>355</v>
      </c>
      <c r="K8" s="61"/>
      <c r="L8" s="461"/>
      <c r="M8" s="83" t="s">
        <v>418</v>
      </c>
      <c r="N8" s="263" t="s">
        <v>277</v>
      </c>
      <c r="O8" s="65" t="s">
        <v>410</v>
      </c>
      <c r="P8" s="61"/>
      <c r="Q8" s="461"/>
      <c r="R8" s="83" t="s">
        <v>277</v>
      </c>
      <c r="S8" s="65" t="s">
        <v>411</v>
      </c>
      <c r="T8" s="65" t="s">
        <v>107</v>
      </c>
      <c r="U8" s="65" t="s">
        <v>412</v>
      </c>
      <c r="V8" s="61"/>
      <c r="W8" s="461" t="s">
        <v>114</v>
      </c>
      <c r="X8" s="61"/>
      <c r="Y8" s="461"/>
    </row>
    <row r="9" spans="1:26" ht="13">
      <c r="A9" s="108" t="s">
        <v>135</v>
      </c>
      <c r="B9" s="109"/>
      <c r="C9" s="108"/>
      <c r="D9" s="110"/>
      <c r="E9" s="111"/>
      <c r="F9" s="109"/>
      <c r="G9" s="109"/>
      <c r="H9" s="113"/>
      <c r="I9" s="113"/>
      <c r="J9" s="113"/>
      <c r="K9" s="109"/>
      <c r="L9" s="113"/>
      <c r="M9" s="109"/>
      <c r="N9" s="264"/>
      <c r="O9" s="113"/>
      <c r="P9" s="109"/>
      <c r="Q9" s="113"/>
      <c r="R9" s="284"/>
      <c r="S9" s="113"/>
      <c r="T9" s="113"/>
      <c r="U9" s="113"/>
    </row>
    <row r="10" spans="1:26" ht="55" customHeight="1">
      <c r="A10" s="1253" t="s">
        <v>0</v>
      </c>
      <c r="C10" s="175" t="s">
        <v>115</v>
      </c>
      <c r="D10" s="250">
        <v>210.3</v>
      </c>
      <c r="E10" s="106">
        <v>5</v>
      </c>
      <c r="F10" s="1219" t="s">
        <v>364</v>
      </c>
      <c r="G10" s="434">
        <f>D10-E10</f>
        <v>205.3</v>
      </c>
      <c r="H10" s="1238" t="s">
        <v>509</v>
      </c>
      <c r="I10" s="455"/>
      <c r="J10" s="1300"/>
      <c r="L10" s="175" t="s">
        <v>115</v>
      </c>
      <c r="M10" s="103">
        <f>N10+R10</f>
        <v>50</v>
      </c>
      <c r="N10" s="265">
        <v>15</v>
      </c>
      <c r="O10" s="1219" t="s">
        <v>350</v>
      </c>
      <c r="Q10" s="175" t="s">
        <v>115</v>
      </c>
      <c r="R10" s="257">
        <v>35</v>
      </c>
      <c r="S10" s="1219" t="s">
        <v>469</v>
      </c>
      <c r="T10" s="441"/>
      <c r="U10" s="441"/>
      <c r="W10" s="1185" t="s">
        <v>62</v>
      </c>
      <c r="Y10" s="1239" t="s">
        <v>61</v>
      </c>
    </row>
    <row r="11" spans="1:26" ht="55" customHeight="1">
      <c r="A11" s="1253"/>
      <c r="C11" s="175" t="s">
        <v>116</v>
      </c>
      <c r="D11" s="251" t="e">
        <f>D10/#REF!</f>
        <v>#REF!</v>
      </c>
      <c r="E11" s="82" t="e">
        <f>E10/#REF!</f>
        <v>#REF!</v>
      </c>
      <c r="F11" s="1219"/>
      <c r="G11" s="434"/>
      <c r="H11" s="1238"/>
      <c r="I11" s="455"/>
      <c r="J11" s="1300"/>
      <c r="L11" s="175" t="s">
        <v>116</v>
      </c>
      <c r="M11" s="63" t="e">
        <f>M10/VLOOKUP(A10,#REF!,7,0)</f>
        <v>#REF!</v>
      </c>
      <c r="N11" s="266" t="e">
        <f>N10/VLOOKUP(A10,#REF!,7,0)</f>
        <v>#REF!</v>
      </c>
      <c r="O11" s="1219"/>
      <c r="Q11" s="175" t="s">
        <v>116</v>
      </c>
      <c r="R11" s="285" t="e">
        <f>M11-N11</f>
        <v>#REF!</v>
      </c>
      <c r="S11" s="1219"/>
      <c r="T11" s="441"/>
      <c r="U11" s="441"/>
      <c r="W11" s="1185"/>
      <c r="Y11" s="1239"/>
    </row>
    <row r="12" spans="1:26" ht="55" customHeight="1">
      <c r="A12" s="1254"/>
      <c r="B12" s="52"/>
      <c r="C12" s="53" t="s">
        <v>117</v>
      </c>
      <c r="D12" s="252" t="e">
        <f>(D10/VLOOKUP(A10,#REF!,4,0))*100</f>
        <v>#REF!</v>
      </c>
      <c r="E12" s="17" t="e">
        <f>(E10/VLOOKUP(A10,#REF!,4,0))*100</f>
        <v>#REF!</v>
      </c>
      <c r="F12" s="1186"/>
      <c r="G12" s="435"/>
      <c r="H12" s="1192"/>
      <c r="I12" s="426"/>
      <c r="J12" s="1189"/>
      <c r="K12" s="52"/>
      <c r="L12" s="53" t="s">
        <v>117</v>
      </c>
      <c r="M12" s="64" t="e">
        <f>(M10/VLOOKUP(A10,#REF!,4,0))*100</f>
        <v>#REF!</v>
      </c>
      <c r="N12" s="267" t="e">
        <f>(N10/VLOOKUP(A10,#REF!,4,0))*100</f>
        <v>#REF!</v>
      </c>
      <c r="O12" s="1186"/>
      <c r="P12" s="52"/>
      <c r="Q12" s="53" t="s">
        <v>117</v>
      </c>
      <c r="R12" s="77" t="e">
        <f>(R10/VLOOKUP(A10,#REF!,4,0))*100</f>
        <v>#REF!</v>
      </c>
      <c r="S12" s="1186"/>
      <c r="T12" s="421"/>
      <c r="U12" s="421"/>
      <c r="V12" s="52"/>
      <c r="W12" s="1186"/>
      <c r="X12" s="52"/>
      <c r="Y12" s="1240"/>
    </row>
    <row r="13" spans="1:26" ht="60" customHeight="1">
      <c r="A13" s="1253" t="s">
        <v>1</v>
      </c>
      <c r="B13" s="16"/>
      <c r="C13" s="175" t="s">
        <v>115</v>
      </c>
      <c r="D13" s="253">
        <f>205-85</f>
        <v>120</v>
      </c>
      <c r="E13" s="62">
        <v>4</v>
      </c>
      <c r="F13" s="1220" t="s">
        <v>472</v>
      </c>
      <c r="G13" s="102">
        <v>105</v>
      </c>
      <c r="H13" s="1184" t="s">
        <v>510</v>
      </c>
      <c r="I13" s="419">
        <v>85</v>
      </c>
      <c r="J13" s="1184" t="s">
        <v>349</v>
      </c>
      <c r="K13" s="16"/>
      <c r="L13" s="175" t="s">
        <v>115</v>
      </c>
      <c r="M13" s="62">
        <f>N13+R13</f>
        <v>70</v>
      </c>
      <c r="N13" s="268">
        <v>5</v>
      </c>
      <c r="O13" s="1184" t="s">
        <v>347</v>
      </c>
      <c r="P13" s="16"/>
      <c r="Q13" s="175" t="s">
        <v>115</v>
      </c>
      <c r="R13" s="253">
        <v>65</v>
      </c>
      <c r="S13" s="1184" t="s">
        <v>348</v>
      </c>
      <c r="T13" s="419"/>
      <c r="U13" s="419"/>
      <c r="V13" s="15"/>
      <c r="W13" s="419"/>
      <c r="X13" s="15"/>
      <c r="Y13" s="447" t="s">
        <v>63</v>
      </c>
      <c r="Z13" s="1214" t="s">
        <v>213</v>
      </c>
    </row>
    <row r="14" spans="1:26" ht="60" customHeight="1">
      <c r="A14" s="1253"/>
      <c r="B14" s="35"/>
      <c r="C14" s="175" t="s">
        <v>116</v>
      </c>
      <c r="D14" s="251" t="e">
        <f>D13/VLOOKUP(A13,#REF!,7,0)</f>
        <v>#REF!</v>
      </c>
      <c r="E14" s="82" t="e">
        <f>E13/VLOOKUP(A13,#REF!,7,0)</f>
        <v>#REF!</v>
      </c>
      <c r="F14" s="1221"/>
      <c r="G14" s="103"/>
      <c r="H14" s="1185"/>
      <c r="I14" s="420"/>
      <c r="J14" s="1185"/>
      <c r="K14" s="35"/>
      <c r="L14" s="175" t="s">
        <v>116</v>
      </c>
      <c r="M14" s="62" t="e">
        <f>N14+R14</f>
        <v>#REF!</v>
      </c>
      <c r="N14" s="269" t="e">
        <f>N13/VLOOKUP(A13,#REF!,7,0)</f>
        <v>#REF!</v>
      </c>
      <c r="O14" s="1185"/>
      <c r="P14" s="35"/>
      <c r="Q14" s="175" t="s">
        <v>116</v>
      </c>
      <c r="R14" s="251" t="e">
        <f>R13/VLOOKUP(A13,#REF!,7,0)</f>
        <v>#REF!</v>
      </c>
      <c r="S14" s="1185"/>
      <c r="T14" s="420"/>
      <c r="U14" s="420"/>
      <c r="W14" s="420"/>
      <c r="Y14" s="448"/>
      <c r="Z14" s="1215"/>
    </row>
    <row r="15" spans="1:26" ht="60" customHeight="1">
      <c r="A15" s="1254"/>
      <c r="B15" s="12"/>
      <c r="C15" s="53" t="s">
        <v>117</v>
      </c>
      <c r="D15" s="252" t="e">
        <f>(D13/VLOOKUP(A13,#REF!,4,0))*100</f>
        <v>#REF!</v>
      </c>
      <c r="E15" s="17" t="e">
        <f>(E13/VLOOKUP(A13,#REF!,4,0))*100</f>
        <v>#REF!</v>
      </c>
      <c r="F15" s="1222"/>
      <c r="G15" s="104"/>
      <c r="H15" s="1186"/>
      <c r="I15" s="421"/>
      <c r="J15" s="1186"/>
      <c r="K15" s="12"/>
      <c r="L15" s="53" t="s">
        <v>117</v>
      </c>
      <c r="M15" s="62" t="e">
        <f>N15+R15</f>
        <v>#REF!</v>
      </c>
      <c r="N15" s="267" t="e">
        <f>(N13/VLOOKUP(A13,#REF!,4,0))*100</f>
        <v>#REF!</v>
      </c>
      <c r="O15" s="1186"/>
      <c r="P15" s="12"/>
      <c r="Q15" s="53" t="s">
        <v>117</v>
      </c>
      <c r="R15" s="252" t="e">
        <f>(R13/VLOOKUP(A13,#REF!,4,0))*100</f>
        <v>#REF!</v>
      </c>
      <c r="S15" s="1186"/>
      <c r="T15" s="421"/>
      <c r="U15" s="421"/>
      <c r="V15" s="52"/>
      <c r="W15" s="421"/>
      <c r="X15" s="52"/>
      <c r="Y15" s="449"/>
      <c r="Z15" s="1215"/>
    </row>
    <row r="16" spans="1:26" ht="40" customHeight="1">
      <c r="A16" s="1253" t="s">
        <v>358</v>
      </c>
      <c r="B16" s="16"/>
      <c r="C16" s="175" t="s">
        <v>115</v>
      </c>
      <c r="D16" s="253">
        <v>37</v>
      </c>
      <c r="E16" s="436">
        <v>0.05</v>
      </c>
      <c r="F16" s="1220" t="s">
        <v>366</v>
      </c>
      <c r="G16" s="102">
        <v>37</v>
      </c>
      <c r="H16" s="1184" t="s">
        <v>359</v>
      </c>
      <c r="I16" s="419"/>
      <c r="J16" s="419"/>
      <c r="K16" s="16"/>
      <c r="L16" s="175" t="s">
        <v>115</v>
      </c>
      <c r="M16" s="62">
        <f>SUM(N16,R16)</f>
        <v>165</v>
      </c>
      <c r="N16" s="268">
        <v>100</v>
      </c>
      <c r="O16" s="1184" t="s">
        <v>476</v>
      </c>
      <c r="P16" s="16"/>
      <c r="Q16" s="175" t="s">
        <v>115</v>
      </c>
      <c r="R16" s="286">
        <v>65</v>
      </c>
      <c r="S16" s="1193" t="s">
        <v>477</v>
      </c>
      <c r="T16" s="427"/>
      <c r="U16" s="427"/>
      <c r="V16" s="15"/>
      <c r="W16" s="1184" t="s">
        <v>74</v>
      </c>
      <c r="X16" s="15"/>
      <c r="Y16" s="22"/>
    </row>
    <row r="17" spans="1:25" ht="40" customHeight="1">
      <c r="A17" s="1253"/>
      <c r="B17" s="35"/>
      <c r="C17" s="175" t="s">
        <v>116</v>
      </c>
      <c r="D17" s="251" t="e">
        <f>D16/VLOOKUP(A16,#REF!,6,0)</f>
        <v>#REF!</v>
      </c>
      <c r="E17" s="103"/>
      <c r="F17" s="1221"/>
      <c r="G17" s="446"/>
      <c r="H17" s="1185"/>
      <c r="I17" s="420"/>
      <c r="J17" s="420"/>
      <c r="K17" s="35"/>
      <c r="L17" s="175" t="s">
        <v>116</v>
      </c>
      <c r="M17" s="62" t="e">
        <f>SUM(N17,R17)</f>
        <v>#REF!</v>
      </c>
      <c r="N17" s="269" t="e">
        <f>N16/VLOOKUP(A16,#REF!,7,0)</f>
        <v>#REF!</v>
      </c>
      <c r="O17" s="1185"/>
      <c r="P17" s="35"/>
      <c r="Q17" s="175" t="s">
        <v>116</v>
      </c>
      <c r="R17" s="258" t="e">
        <f>R16/VLOOKUP(A16,#REF!,7,0)</f>
        <v>#REF!</v>
      </c>
      <c r="S17" s="1196"/>
      <c r="T17" s="430"/>
      <c r="U17" s="430"/>
      <c r="W17" s="1185"/>
      <c r="Y17" s="448"/>
    </row>
    <row r="18" spans="1:25" ht="40" customHeight="1">
      <c r="A18" s="1254"/>
      <c r="B18" s="12"/>
      <c r="C18" s="53" t="s">
        <v>117</v>
      </c>
      <c r="D18" s="252" t="e">
        <f>(D16/VLOOKUP(A16,#REF!,4,0))*100</f>
        <v>#REF!</v>
      </c>
      <c r="E18" s="104"/>
      <c r="F18" s="1222"/>
      <c r="G18" s="453"/>
      <c r="H18" s="1186"/>
      <c r="I18" s="421"/>
      <c r="J18" s="421"/>
      <c r="K18" s="12"/>
      <c r="L18" s="53" t="s">
        <v>117</v>
      </c>
      <c r="M18" s="62" t="e">
        <f>SUM(N18,R18)</f>
        <v>#REF!</v>
      </c>
      <c r="N18" s="267" t="e">
        <f>(N16/VLOOKUP(A16,#REF!,4,0))*100</f>
        <v>#REF!</v>
      </c>
      <c r="O18" s="1186"/>
      <c r="P18" s="12"/>
      <c r="Q18" s="53" t="s">
        <v>117</v>
      </c>
      <c r="R18" s="252" t="e">
        <f>(R16/VLOOKUP(A16,#REF!,4,0))*100</f>
        <v>#REF!</v>
      </c>
      <c r="S18" s="1197"/>
      <c r="T18" s="431"/>
      <c r="U18" s="431"/>
      <c r="V18" s="52"/>
      <c r="W18" s="1186"/>
      <c r="X18" s="52"/>
      <c r="Y18" s="449"/>
    </row>
    <row r="19" spans="1:25" ht="40" customHeight="1">
      <c r="A19" s="1253" t="s">
        <v>2</v>
      </c>
      <c r="B19" s="16"/>
      <c r="C19" s="175" t="s">
        <v>115</v>
      </c>
      <c r="D19" s="253">
        <v>42</v>
      </c>
      <c r="E19" s="102">
        <v>8</v>
      </c>
      <c r="F19" s="1184" t="s">
        <v>471</v>
      </c>
      <c r="G19" s="445">
        <v>11</v>
      </c>
      <c r="H19" s="1190" t="s">
        <v>508</v>
      </c>
      <c r="I19" s="424">
        <v>48.5</v>
      </c>
      <c r="J19" s="1190" t="s">
        <v>356</v>
      </c>
      <c r="K19" s="16"/>
      <c r="L19" s="175" t="s">
        <v>115</v>
      </c>
      <c r="M19" s="102">
        <f>N19+R19</f>
        <v>315</v>
      </c>
      <c r="N19" s="268"/>
      <c r="O19" s="22"/>
      <c r="P19" s="16"/>
      <c r="Q19" s="175" t="s">
        <v>115</v>
      </c>
      <c r="R19" s="253">
        <v>315</v>
      </c>
      <c r="S19" s="1184" t="s">
        <v>507</v>
      </c>
      <c r="T19" s="419"/>
      <c r="U19" s="419"/>
      <c r="V19" s="15"/>
      <c r="W19" s="419" t="s">
        <v>214</v>
      </c>
      <c r="X19" s="15"/>
      <c r="Y19" s="447" t="s">
        <v>64</v>
      </c>
    </row>
    <row r="20" spans="1:25" ht="40" customHeight="1">
      <c r="A20" s="1253"/>
      <c r="B20" s="35"/>
      <c r="C20" s="175" t="s">
        <v>116</v>
      </c>
      <c r="D20" s="251" t="e">
        <f>D19/VLOOKUP(A19,#REF!,7,0)</f>
        <v>#REF!</v>
      </c>
      <c r="E20" s="103" t="e">
        <f>E19/VLOOKUP(A19,#REF!,7,0)</f>
        <v>#REF!</v>
      </c>
      <c r="F20" s="1185"/>
      <c r="G20" s="446"/>
      <c r="H20" s="1191"/>
      <c r="I20" s="425"/>
      <c r="J20" s="1191"/>
      <c r="K20" s="35"/>
      <c r="L20" s="175" t="s">
        <v>116</v>
      </c>
      <c r="M20" s="102" t="e">
        <f>N20+R20</f>
        <v>#REF!</v>
      </c>
      <c r="N20" s="269"/>
      <c r="O20" s="58"/>
      <c r="P20" s="35"/>
      <c r="Q20" s="175" t="s">
        <v>116</v>
      </c>
      <c r="R20" s="251" t="e">
        <f>R19/VLOOKUP(A19,#REF!,7,0)</f>
        <v>#REF!</v>
      </c>
      <c r="S20" s="1185"/>
      <c r="T20" s="420"/>
      <c r="U20" s="420"/>
      <c r="W20" s="420"/>
      <c r="Y20" s="448"/>
    </row>
    <row r="21" spans="1:25" s="2" customFormat="1" ht="40" customHeight="1">
      <c r="A21" s="1254"/>
      <c r="B21" s="12"/>
      <c r="C21" s="53" t="s">
        <v>117</v>
      </c>
      <c r="D21" s="252" t="e">
        <f>(D19/VLOOKUP(A19,#REF!,4,0))*100</f>
        <v>#REF!</v>
      </c>
      <c r="E21" s="104" t="e">
        <f>(E19/VLOOKUP(A19,#REF!,4,0))*100</f>
        <v>#REF!</v>
      </c>
      <c r="F21" s="1186"/>
      <c r="G21" s="453"/>
      <c r="H21" s="1192"/>
      <c r="I21" s="426"/>
      <c r="J21" s="1192"/>
      <c r="K21" s="12"/>
      <c r="L21" s="53" t="s">
        <v>117</v>
      </c>
      <c r="M21" s="102" t="e">
        <f>N21+R21</f>
        <v>#REF!</v>
      </c>
      <c r="N21" s="267"/>
      <c r="O21" s="57"/>
      <c r="P21" s="12"/>
      <c r="Q21" s="53" t="s">
        <v>117</v>
      </c>
      <c r="R21" s="252" t="e">
        <f>(R19/VLOOKUP(A19,#REF!,4,0))*100</f>
        <v>#REF!</v>
      </c>
      <c r="S21" s="1186"/>
      <c r="T21" s="421"/>
      <c r="U21" s="421"/>
      <c r="V21" s="52"/>
      <c r="W21" s="421"/>
      <c r="X21" s="52"/>
      <c r="Y21" s="449"/>
    </row>
    <row r="22" spans="1:25" s="229" customFormat="1" ht="50.15" customHeight="1">
      <c r="A22" s="1253" t="s">
        <v>3</v>
      </c>
      <c r="B22" s="16"/>
      <c r="C22" s="38" t="s">
        <v>115</v>
      </c>
      <c r="D22" s="253">
        <v>143</v>
      </c>
      <c r="E22" s="62">
        <v>19</v>
      </c>
      <c r="F22" s="1220" t="s">
        <v>511</v>
      </c>
      <c r="G22" s="62">
        <f>D22-E22</f>
        <v>124</v>
      </c>
      <c r="H22" s="1184" t="s">
        <v>512</v>
      </c>
      <c r="I22" s="433">
        <v>9</v>
      </c>
      <c r="J22" s="1184" t="s">
        <v>357</v>
      </c>
      <c r="K22" s="16"/>
      <c r="L22" s="38" t="s">
        <v>115</v>
      </c>
      <c r="M22" s="102">
        <f>N22+R22</f>
        <v>962</v>
      </c>
      <c r="N22" s="270">
        <v>200</v>
      </c>
      <c r="O22" s="1184" t="s">
        <v>289</v>
      </c>
      <c r="P22" s="16"/>
      <c r="Q22" s="38" t="s">
        <v>115</v>
      </c>
      <c r="R22" s="253">
        <f>825-63</f>
        <v>762</v>
      </c>
      <c r="S22" s="1184" t="s">
        <v>141</v>
      </c>
      <c r="T22" s="419"/>
      <c r="U22" s="419"/>
      <c r="V22" s="15"/>
      <c r="W22" s="1184" t="s">
        <v>65</v>
      </c>
      <c r="X22" s="15"/>
      <c r="Y22" s="1225" t="s">
        <v>67</v>
      </c>
    </row>
    <row r="23" spans="1:25" ht="50.15" customHeight="1">
      <c r="A23" s="1253"/>
      <c r="B23" s="35"/>
      <c r="C23" s="175" t="s">
        <v>116</v>
      </c>
      <c r="D23" s="251" t="e">
        <f>D22/VLOOKUP(A22,#REF!,7,0)</f>
        <v>#REF!</v>
      </c>
      <c r="E23" s="103" t="e">
        <f>E22/VLOOKUP(A22,#REF!,7,0)</f>
        <v>#REF!</v>
      </c>
      <c r="F23" s="1221"/>
      <c r="G23" s="446"/>
      <c r="H23" s="1185"/>
      <c r="I23" s="410" t="e">
        <f>I22/VLOOKUP(A22,#REF!,7,0)</f>
        <v>#REF!</v>
      </c>
      <c r="J23" s="1185"/>
      <c r="K23" s="35"/>
      <c r="L23" s="175" t="s">
        <v>116</v>
      </c>
      <c r="M23" s="103" t="e">
        <f>M22/VLOOKUP(A22,#REF!,7,0)</f>
        <v>#REF!</v>
      </c>
      <c r="N23" s="266" t="e">
        <f>N22/VLOOKUP(A22,#REF!,7,0)</f>
        <v>#REF!</v>
      </c>
      <c r="O23" s="1185"/>
      <c r="P23" s="35"/>
      <c r="Q23" s="175" t="s">
        <v>116</v>
      </c>
      <c r="R23" s="251" t="e">
        <f>R22/VLOOKUP(A22,#REF!,7,0)</f>
        <v>#REF!</v>
      </c>
      <c r="S23" s="1185"/>
      <c r="T23" s="420"/>
      <c r="U23" s="420"/>
      <c r="W23" s="1185"/>
      <c r="Y23" s="1226"/>
    </row>
    <row r="24" spans="1:25" ht="50.15" customHeight="1">
      <c r="A24" s="1254"/>
      <c r="B24" s="12"/>
      <c r="C24" s="53" t="s">
        <v>117</v>
      </c>
      <c r="D24" s="252" t="e">
        <f>(D22/VLOOKUP(A22,#REF!,4,0))*100</f>
        <v>#REF!</v>
      </c>
      <c r="E24" s="104" t="e">
        <f>(E22/VLOOKUP(A22,#REF!,4,0))*100</f>
        <v>#REF!</v>
      </c>
      <c r="F24" s="1222"/>
      <c r="G24" s="453"/>
      <c r="H24" s="1186"/>
      <c r="I24" s="411" t="e">
        <f>(I22/VLOOKUP(A22,#REF!,4,0))*100</f>
        <v>#REF!</v>
      </c>
      <c r="J24" s="1186"/>
      <c r="K24" s="12"/>
      <c r="L24" s="53" t="s">
        <v>117</v>
      </c>
      <c r="M24" s="104" t="e">
        <f>(M22/VLOOKUP(A22,#REF!,4,0))*100</f>
        <v>#REF!</v>
      </c>
      <c r="N24" s="267" t="e">
        <f>(N22/VLOOKUP(A22,#REF!,4,0))*100</f>
        <v>#REF!</v>
      </c>
      <c r="O24" s="1186"/>
      <c r="P24" s="12"/>
      <c r="Q24" s="53" t="s">
        <v>117</v>
      </c>
      <c r="R24" s="252" t="e">
        <f>(R22/VLOOKUP(A22,#REF!,4,0))*100</f>
        <v>#REF!</v>
      </c>
      <c r="S24" s="1186"/>
      <c r="T24" s="421"/>
      <c r="U24" s="421"/>
      <c r="V24" s="52"/>
      <c r="W24" s="1186"/>
      <c r="X24" s="52"/>
      <c r="Y24" s="1227"/>
    </row>
    <row r="25" spans="1:25" ht="60" customHeight="1">
      <c r="A25" s="1253" t="s">
        <v>4</v>
      </c>
      <c r="B25" s="16"/>
      <c r="C25" s="175" t="s">
        <v>115</v>
      </c>
      <c r="D25" s="253">
        <v>20</v>
      </c>
      <c r="E25" s="62">
        <v>3.2</v>
      </c>
      <c r="F25" s="1220" t="s">
        <v>368</v>
      </c>
      <c r="G25" s="62">
        <v>10.3</v>
      </c>
      <c r="H25" s="1190" t="s">
        <v>361</v>
      </c>
      <c r="I25" s="424"/>
      <c r="J25" s="1190" t="s">
        <v>362</v>
      </c>
      <c r="K25" s="16"/>
      <c r="L25" s="175" t="s">
        <v>115</v>
      </c>
      <c r="M25" s="62">
        <f>N25+R25</f>
        <v>530</v>
      </c>
      <c r="N25" s="268"/>
      <c r="O25" s="1241"/>
      <c r="P25" s="16"/>
      <c r="Q25" s="175" t="s">
        <v>115</v>
      </c>
      <c r="R25" s="253">
        <v>530</v>
      </c>
      <c r="S25" s="1190" t="s">
        <v>215</v>
      </c>
      <c r="T25" s="424"/>
      <c r="U25" s="424"/>
      <c r="V25" s="15"/>
      <c r="W25" s="1184" t="s">
        <v>216</v>
      </c>
      <c r="X25" s="15"/>
      <c r="Y25" s="447" t="s">
        <v>66</v>
      </c>
    </row>
    <row r="26" spans="1:25" ht="60" customHeight="1">
      <c r="A26" s="1253"/>
      <c r="B26" s="35"/>
      <c r="C26" s="175" t="s">
        <v>116</v>
      </c>
      <c r="D26" s="251" t="e">
        <f>D25/VLOOKUP(A25,#REF!,7,0)</f>
        <v>#REF!</v>
      </c>
      <c r="E26" s="103" t="e">
        <f>E25/VLOOKUP(A25,#REF!,7,0)</f>
        <v>#REF!</v>
      </c>
      <c r="F26" s="1221"/>
      <c r="G26" s="446"/>
      <c r="H26" s="1191"/>
      <c r="I26" s="425"/>
      <c r="J26" s="1191"/>
      <c r="K26" s="35"/>
      <c r="L26" s="175" t="s">
        <v>116</v>
      </c>
      <c r="M26" s="437"/>
      <c r="N26" s="269"/>
      <c r="O26" s="1242"/>
      <c r="P26" s="35"/>
      <c r="Q26" s="175" t="s">
        <v>116</v>
      </c>
      <c r="R26" s="251" t="e">
        <f>R25/VLOOKUP(A25,#REF!,7,0)</f>
        <v>#REF!</v>
      </c>
      <c r="S26" s="1191"/>
      <c r="T26" s="425"/>
      <c r="U26" s="425"/>
      <c r="W26" s="1185"/>
      <c r="Y26" s="197" t="s">
        <v>186</v>
      </c>
    </row>
    <row r="27" spans="1:25" ht="69" customHeight="1">
      <c r="A27" s="1254"/>
      <c r="B27" s="12"/>
      <c r="C27" s="53" t="s">
        <v>117</v>
      </c>
      <c r="D27" s="252" t="e">
        <f>(D25/VLOOKUP(A25,#REF!,4,0))*100</f>
        <v>#REF!</v>
      </c>
      <c r="E27" s="104" t="e">
        <f>(E25/VLOOKUP(A25,#REF!,4,0))*100</f>
        <v>#REF!</v>
      </c>
      <c r="F27" s="1222"/>
      <c r="G27" s="453"/>
      <c r="H27" s="1192"/>
      <c r="I27" s="426"/>
      <c r="J27" s="1192"/>
      <c r="K27" s="12"/>
      <c r="L27" s="53" t="s">
        <v>117</v>
      </c>
      <c r="M27" s="438"/>
      <c r="N27" s="267"/>
      <c r="O27" s="1243"/>
      <c r="P27" s="12"/>
      <c r="Q27" s="53" t="s">
        <v>117</v>
      </c>
      <c r="R27" s="252" t="e">
        <f>(R25/VLOOKUP(A25,#REF!,4,0))*100</f>
        <v>#REF!</v>
      </c>
      <c r="S27" s="1192"/>
      <c r="T27" s="426"/>
      <c r="U27" s="426"/>
      <c r="V27" s="52"/>
      <c r="W27" s="1186"/>
      <c r="X27" s="52"/>
      <c r="Y27" s="449"/>
    </row>
    <row r="28" spans="1:25" ht="60" customHeight="1">
      <c r="A28" s="1253" t="s">
        <v>5</v>
      </c>
      <c r="B28" s="16"/>
      <c r="C28" s="175" t="s">
        <v>281</v>
      </c>
      <c r="D28" s="187">
        <f>62000-25000</f>
        <v>37000</v>
      </c>
      <c r="E28" s="102">
        <v>2000</v>
      </c>
      <c r="F28" s="1193" t="s">
        <v>370</v>
      </c>
      <c r="G28" s="102">
        <f>383-78</f>
        <v>305</v>
      </c>
      <c r="H28" s="1193" t="s">
        <v>514</v>
      </c>
      <c r="I28" s="427">
        <v>25000</v>
      </c>
      <c r="J28" s="1193" t="s">
        <v>363</v>
      </c>
      <c r="K28" s="16"/>
      <c r="L28" s="38" t="s">
        <v>115</v>
      </c>
      <c r="M28" s="408">
        <f>N28+R28</f>
        <v>55200</v>
      </c>
      <c r="N28" s="271">
        <v>53200</v>
      </c>
      <c r="O28" s="1198" t="s">
        <v>513</v>
      </c>
      <c r="P28" s="16"/>
      <c r="Q28" s="38" t="s">
        <v>115</v>
      </c>
      <c r="R28" s="187">
        <v>2000</v>
      </c>
      <c r="S28" s="1198" t="s">
        <v>303</v>
      </c>
      <c r="T28" s="432"/>
      <c r="U28" s="432"/>
      <c r="V28" s="15"/>
      <c r="W28" s="1184" t="s">
        <v>298</v>
      </c>
      <c r="X28" s="15"/>
      <c r="Y28" s="22"/>
    </row>
    <row r="29" spans="1:25" ht="60" customHeight="1">
      <c r="A29" s="1253"/>
      <c r="B29" s="35"/>
      <c r="C29" s="175" t="s">
        <v>116</v>
      </c>
      <c r="D29" s="251" t="e">
        <f>D28/VLOOKUP(A28,#REF!,7,0)</f>
        <v>#REF!</v>
      </c>
      <c r="E29" s="103" t="e">
        <f>E28/VLOOKUP(A28,#REF!,7,0)</f>
        <v>#REF!</v>
      </c>
      <c r="F29" s="1194"/>
      <c r="G29" s="446"/>
      <c r="H29" s="1196"/>
      <c r="I29" s="430" t="e">
        <f>I28/VLOOKUP(A28,#REF!,7,0)</f>
        <v>#REF!</v>
      </c>
      <c r="J29" s="1196"/>
      <c r="K29" s="35"/>
      <c r="L29" s="175" t="s">
        <v>116</v>
      </c>
      <c r="M29" s="408" t="e">
        <f>N29+R29</f>
        <v>#REF!</v>
      </c>
      <c r="N29" s="266" t="e">
        <f>N28/VLOOKUP(A28,#REF!,7,0)</f>
        <v>#REF!</v>
      </c>
      <c r="O29" s="1194"/>
      <c r="P29" s="35"/>
      <c r="Q29" s="175" t="s">
        <v>116</v>
      </c>
      <c r="R29" s="251" t="e">
        <f>R28/VLOOKUP(A28,#REF!,7,0)</f>
        <v>#REF!</v>
      </c>
      <c r="S29" s="1194"/>
      <c r="T29" s="428"/>
      <c r="U29" s="428"/>
      <c r="W29" s="1185"/>
      <c r="Y29" s="448"/>
    </row>
    <row r="30" spans="1:25" s="2" customFormat="1" ht="56.15" customHeight="1">
      <c r="A30" s="1254"/>
      <c r="B30" s="12"/>
      <c r="C30" s="53" t="s">
        <v>117</v>
      </c>
      <c r="D30" s="252" t="e">
        <f>(D28/VLOOKUP(A28,#REF!,4,0))*100</f>
        <v>#REF!</v>
      </c>
      <c r="E30" s="17" t="e">
        <f>(E28/VLOOKUP(A28,#REF!,4,0))*100</f>
        <v>#REF!</v>
      </c>
      <c r="F30" s="1195"/>
      <c r="G30" s="453"/>
      <c r="H30" s="1197"/>
      <c r="I30" s="409" t="e">
        <f>(I28/VLOOKUP(A28,#REF!,4,0))*100</f>
        <v>#REF!</v>
      </c>
      <c r="J30" s="1197"/>
      <c r="K30" s="12"/>
      <c r="L30" s="53" t="s">
        <v>117</v>
      </c>
      <c r="M30" s="408" t="e">
        <f>N30+R30</f>
        <v>#REF!</v>
      </c>
      <c r="N30" s="267" t="e">
        <f>(N28/VLOOKUP(A28,#REF!,4,0))*100</f>
        <v>#REF!</v>
      </c>
      <c r="O30" s="1195"/>
      <c r="P30" s="12"/>
      <c r="Q30" s="53" t="s">
        <v>117</v>
      </c>
      <c r="R30" s="252" t="e">
        <f>(R28/VLOOKUP(A28,#REF!,4,0))*100</f>
        <v>#REF!</v>
      </c>
      <c r="S30" s="1195"/>
      <c r="T30" s="429"/>
      <c r="U30" s="429"/>
      <c r="V30" s="52"/>
      <c r="W30" s="1186"/>
      <c r="X30" s="52"/>
      <c r="Y30" s="449"/>
    </row>
    <row r="31" spans="1:25" s="229" customFormat="1" ht="60.65" customHeight="1">
      <c r="A31" s="1253" t="s">
        <v>6</v>
      </c>
      <c r="B31" s="16"/>
      <c r="C31" s="38" t="s">
        <v>115</v>
      </c>
      <c r="D31" s="254">
        <v>43500</v>
      </c>
      <c r="E31" s="105">
        <v>2500</v>
      </c>
      <c r="F31" s="1220" t="s">
        <v>371</v>
      </c>
      <c r="G31" s="105">
        <v>37000</v>
      </c>
      <c r="H31" s="1193" t="s">
        <v>540</v>
      </c>
      <c r="I31" s="427">
        <v>12200</v>
      </c>
      <c r="J31" s="1193" t="s">
        <v>537</v>
      </c>
      <c r="K31" s="16"/>
      <c r="L31" s="38" t="s">
        <v>115</v>
      </c>
      <c r="M31" s="407">
        <f>N31+R31</f>
        <v>182500</v>
      </c>
      <c r="N31" s="416">
        <f>156000</f>
        <v>156000</v>
      </c>
      <c r="O31" s="1193" t="s">
        <v>538</v>
      </c>
      <c r="P31" s="16"/>
      <c r="Q31" s="38" t="s">
        <v>115</v>
      </c>
      <c r="R31" s="417">
        <v>26500</v>
      </c>
      <c r="S31" s="1184" t="s">
        <v>539</v>
      </c>
      <c r="T31" s="22"/>
      <c r="U31" s="22"/>
      <c r="V31" s="15"/>
      <c r="W31" s="1184" t="s">
        <v>70</v>
      </c>
      <c r="X31" s="15"/>
      <c r="Y31" s="1225" t="s">
        <v>69</v>
      </c>
    </row>
    <row r="32" spans="1:25" ht="85" customHeight="1">
      <c r="A32" s="1253"/>
      <c r="B32" s="35"/>
      <c r="C32" s="175" t="s">
        <v>116</v>
      </c>
      <c r="D32" s="251" t="e">
        <f>D31/VLOOKUP(A31,#REF!,7,0)</f>
        <v>#REF!</v>
      </c>
      <c r="E32" s="103" t="e">
        <f>E31/VLOOKUP(A31,#REF!,7,0)</f>
        <v>#REF!</v>
      </c>
      <c r="F32" s="1221"/>
      <c r="G32" s="446"/>
      <c r="H32" s="1196"/>
      <c r="I32" s="430"/>
      <c r="J32" s="1196"/>
      <c r="K32" s="35"/>
      <c r="L32" s="175" t="s">
        <v>116</v>
      </c>
      <c r="M32" s="437"/>
      <c r="N32" s="272" t="e">
        <f>N31/VLOOKUP(A31,#REF!,7,0)</f>
        <v>#REF!</v>
      </c>
      <c r="O32" s="1196"/>
      <c r="P32" s="35"/>
      <c r="Q32" s="175" t="s">
        <v>116</v>
      </c>
      <c r="R32" s="418" t="e">
        <f>R31/VLOOKUP(A31,#REF!,7,0)</f>
        <v>#REF!</v>
      </c>
      <c r="S32" s="1185"/>
      <c r="T32" s="58"/>
      <c r="U32" s="58"/>
      <c r="W32" s="1185"/>
      <c r="Y32" s="1226"/>
    </row>
    <row r="33" spans="1:26" ht="100" customHeight="1">
      <c r="A33" s="1254"/>
      <c r="B33" s="12"/>
      <c r="C33" s="53" t="s">
        <v>117</v>
      </c>
      <c r="D33" s="252" t="e">
        <f>(D31/VLOOKUP(A31,#REF!,4,0))*100</f>
        <v>#REF!</v>
      </c>
      <c r="E33" s="104" t="e">
        <f>(E31/VLOOKUP(A31,#REF!,4,0))*100</f>
        <v>#REF!</v>
      </c>
      <c r="F33" s="1222"/>
      <c r="G33" s="453"/>
      <c r="H33" s="1197"/>
      <c r="I33" s="431"/>
      <c r="J33" s="1197"/>
      <c r="K33" s="12"/>
      <c r="L33" s="53" t="s">
        <v>117</v>
      </c>
      <c r="M33" s="438"/>
      <c r="N33" s="273" t="e">
        <f>(N31/VLOOKUP(A31,#REF!,4,0))*100</f>
        <v>#REF!</v>
      </c>
      <c r="O33" s="1197"/>
      <c r="P33" s="12"/>
      <c r="Q33" s="53" t="s">
        <v>117</v>
      </c>
      <c r="R33" s="172" t="e">
        <f>(R31/VLOOKUP(A31,#REF!,4,0))*100</f>
        <v>#REF!</v>
      </c>
      <c r="S33" s="1186"/>
      <c r="T33" s="58"/>
      <c r="U33" s="58"/>
      <c r="V33" s="52"/>
      <c r="W33" s="1186"/>
      <c r="X33" s="52"/>
      <c r="Y33" s="1227"/>
    </row>
    <row r="34" spans="1:26" s="460" customFormat="1" ht="130" customHeight="1">
      <c r="A34" s="1253" t="s">
        <v>32</v>
      </c>
      <c r="B34" s="459"/>
      <c r="C34" s="38" t="s">
        <v>115</v>
      </c>
      <c r="D34" s="255">
        <v>18</v>
      </c>
      <c r="E34" s="442">
        <v>3.9</v>
      </c>
      <c r="F34" s="1233" t="s">
        <v>372</v>
      </c>
      <c r="G34" s="433">
        <v>14</v>
      </c>
      <c r="H34" s="1184" t="s">
        <v>515</v>
      </c>
      <c r="I34" s="419">
        <v>14</v>
      </c>
      <c r="J34" s="1184" t="s">
        <v>378</v>
      </c>
      <c r="K34" s="459"/>
      <c r="L34" s="175" t="s">
        <v>115</v>
      </c>
      <c r="M34" s="405">
        <f>N34+R34</f>
        <v>112</v>
      </c>
      <c r="N34" s="274">
        <v>10</v>
      </c>
      <c r="O34" s="1184" t="s">
        <v>219</v>
      </c>
      <c r="P34" s="459"/>
      <c r="Q34" s="175" t="s">
        <v>115</v>
      </c>
      <c r="R34" s="255">
        <v>102</v>
      </c>
      <c r="S34" s="1184" t="s">
        <v>304</v>
      </c>
      <c r="T34" s="419"/>
      <c r="U34" s="419"/>
      <c r="V34" s="459"/>
      <c r="W34" s="419"/>
      <c r="X34" s="459"/>
      <c r="Y34" s="1225" t="s">
        <v>49</v>
      </c>
      <c r="Z34" s="460">
        <f>849+223</f>
        <v>1072</v>
      </c>
    </row>
    <row r="35" spans="1:26" s="55" customFormat="1" ht="130" customHeight="1">
      <c r="A35" s="1253"/>
      <c r="B35" s="460"/>
      <c r="C35" s="175" t="s">
        <v>116</v>
      </c>
      <c r="D35" s="251" t="e">
        <f>D34/VLOOKUP(A34,#REF!,7,0)</f>
        <v>#REF!</v>
      </c>
      <c r="E35" s="412" t="e">
        <f>E34/VLOOKUP(A34,#REF!,7,0)</f>
        <v>#REF!</v>
      </c>
      <c r="F35" s="1221"/>
      <c r="G35" s="434" t="e">
        <f>G34/VLOOKUP(A34,#REF!,7,0)</f>
        <v>#REF!</v>
      </c>
      <c r="H35" s="1185"/>
      <c r="I35" s="420"/>
      <c r="J35" s="1185"/>
      <c r="K35" s="460"/>
      <c r="L35" s="175" t="s">
        <v>116</v>
      </c>
      <c r="M35" s="406" t="e">
        <f>N35+R35</f>
        <v>#REF!</v>
      </c>
      <c r="N35" s="272" t="e">
        <f>N34/#REF!</f>
        <v>#REF!</v>
      </c>
      <c r="O35" s="1185"/>
      <c r="P35" s="460"/>
      <c r="Q35" s="175" t="s">
        <v>116</v>
      </c>
      <c r="R35" s="251" t="e">
        <f>R34/VLOOKUP(A34,#REF!,7,0)</f>
        <v>#REF!</v>
      </c>
      <c r="S35" s="1185"/>
      <c r="T35" s="420"/>
      <c r="U35" s="420"/>
      <c r="V35" s="460"/>
      <c r="W35" s="420"/>
      <c r="X35" s="460"/>
      <c r="Y35" s="1226"/>
    </row>
    <row r="36" spans="1:26" ht="119.5" customHeight="1">
      <c r="A36" s="1254"/>
      <c r="B36" s="12"/>
      <c r="C36" s="53" t="s">
        <v>117</v>
      </c>
      <c r="D36" s="252" t="e">
        <f>(D34/VLOOKUP(A34,#REF!,4,0))*100</f>
        <v>#REF!</v>
      </c>
      <c r="E36" s="413" t="e">
        <f>(E34/VLOOKUP(A34,#REF!,4,0))*100</f>
        <v>#REF!</v>
      </c>
      <c r="F36" s="1222"/>
      <c r="G36" s="453"/>
      <c r="H36" s="1186"/>
      <c r="I36" s="421"/>
      <c r="J36" s="1186"/>
      <c r="K36" s="12"/>
      <c r="L36" s="53" t="s">
        <v>117</v>
      </c>
      <c r="M36" s="406" t="e">
        <f>N36+R36</f>
        <v>#REF!</v>
      </c>
      <c r="N36" s="267" t="e">
        <f>N34/#REF!*100</f>
        <v>#REF!</v>
      </c>
      <c r="O36" s="1186"/>
      <c r="P36" s="12"/>
      <c r="Q36" s="53" t="s">
        <v>117</v>
      </c>
      <c r="R36" s="252" t="e">
        <f>(R34/VLOOKUP(A34,#REF!,4,0))*100</f>
        <v>#REF!</v>
      </c>
      <c r="S36" s="1186"/>
      <c r="T36" s="421"/>
      <c r="U36" s="421"/>
      <c r="V36" s="52"/>
      <c r="W36" s="421"/>
      <c r="X36" s="52"/>
      <c r="Y36" s="1227"/>
    </row>
    <row r="37" spans="1:26" ht="75" customHeight="1">
      <c r="A37" s="1253" t="s">
        <v>7</v>
      </c>
      <c r="B37" s="16"/>
      <c r="C37" s="175" t="s">
        <v>115</v>
      </c>
      <c r="D37" s="253">
        <v>65</v>
      </c>
      <c r="E37" s="102">
        <v>14.7</v>
      </c>
      <c r="F37" s="1220" t="s">
        <v>516</v>
      </c>
      <c r="G37" s="102">
        <v>60</v>
      </c>
      <c r="H37" s="1184" t="s">
        <v>517</v>
      </c>
      <c r="I37" s="419"/>
      <c r="J37" s="1184" t="s">
        <v>380</v>
      </c>
      <c r="K37" s="16"/>
      <c r="L37" s="175" t="s">
        <v>115</v>
      </c>
      <c r="M37" s="62">
        <f>N37+R37</f>
        <v>330</v>
      </c>
      <c r="N37" s="270"/>
      <c r="O37" s="1190" t="s">
        <v>267</v>
      </c>
      <c r="P37" s="16"/>
      <c r="Q37" s="175" t="s">
        <v>115</v>
      </c>
      <c r="R37" s="286">
        <v>330</v>
      </c>
      <c r="S37" s="1184" t="s">
        <v>157</v>
      </c>
      <c r="T37" s="419"/>
      <c r="U37" s="419"/>
      <c r="V37" s="15"/>
      <c r="W37" s="1244" t="s">
        <v>72</v>
      </c>
      <c r="X37" s="15"/>
      <c r="Y37" s="1235" t="s">
        <v>71</v>
      </c>
    </row>
    <row r="38" spans="1:26" ht="75" customHeight="1">
      <c r="A38" s="1253"/>
      <c r="B38" s="35"/>
      <c r="C38" s="175" t="s">
        <v>116</v>
      </c>
      <c r="D38" s="251" t="e">
        <f>D37/VLOOKUP(A37,#REF!,7,0)</f>
        <v>#REF!</v>
      </c>
      <c r="E38" s="103" t="e">
        <f>E37/VLOOKUP(A37,#REF!,7,0)</f>
        <v>#REF!</v>
      </c>
      <c r="F38" s="1221"/>
      <c r="G38" s="446"/>
      <c r="H38" s="1185"/>
      <c r="I38" s="420"/>
      <c r="J38" s="1185"/>
      <c r="K38" s="35"/>
      <c r="L38" s="175" t="s">
        <v>116</v>
      </c>
      <c r="M38" s="82" t="e">
        <f>M37/VLOOKUP(A37,#REF!,7,0)</f>
        <v>#REF!</v>
      </c>
      <c r="N38" s="266"/>
      <c r="O38" s="1191"/>
      <c r="P38" s="35"/>
      <c r="Q38" s="175" t="s">
        <v>116</v>
      </c>
      <c r="R38" s="258" t="e">
        <f>R37/VLOOKUP(A37,#REF!,7,0)</f>
        <v>#REF!</v>
      </c>
      <c r="S38" s="1185"/>
      <c r="T38" s="420"/>
      <c r="U38" s="420"/>
      <c r="W38" s="1245"/>
      <c r="Y38" s="1236"/>
    </row>
    <row r="39" spans="1:26" s="2" customFormat="1" ht="37.5" customHeight="1">
      <c r="A39" s="1254"/>
      <c r="B39" s="12"/>
      <c r="C39" s="53" t="s">
        <v>117</v>
      </c>
      <c r="D39" s="252" t="e">
        <f>(D37/VLOOKUP(A37,#REF!,4,0))*100</f>
        <v>#REF!</v>
      </c>
      <c r="E39" s="104" t="e">
        <f>(E37/VLOOKUP(A37,#REF!,4,0))*100</f>
        <v>#REF!</v>
      </c>
      <c r="F39" s="1222"/>
      <c r="G39" s="453"/>
      <c r="H39" s="1186"/>
      <c r="I39" s="421"/>
      <c r="J39" s="1186"/>
      <c r="K39" s="12"/>
      <c r="L39" s="53" t="s">
        <v>117</v>
      </c>
      <c r="M39" s="17" t="e">
        <f>(M37/VLOOKUP(A37,#REF!,4,0))*100</f>
        <v>#REF!</v>
      </c>
      <c r="N39" s="267"/>
      <c r="O39" s="1192"/>
      <c r="P39" s="12"/>
      <c r="Q39" s="53" t="s">
        <v>117</v>
      </c>
      <c r="R39" s="252" t="e">
        <f>(R37/VLOOKUP(A37,#REF!,4,0))*100</f>
        <v>#REF!</v>
      </c>
      <c r="S39" s="1186"/>
      <c r="T39" s="421"/>
      <c r="U39" s="421"/>
      <c r="V39" s="52"/>
      <c r="W39" s="1246"/>
      <c r="X39" s="52"/>
      <c r="Y39" s="1237"/>
    </row>
    <row r="40" spans="1:26" s="229" customFormat="1" ht="67" customHeight="1">
      <c r="A40" s="1253" t="s">
        <v>8</v>
      </c>
      <c r="B40" s="16"/>
      <c r="C40" s="38" t="s">
        <v>115</v>
      </c>
      <c r="D40" s="187">
        <v>1777</v>
      </c>
      <c r="E40" s="102">
        <v>300</v>
      </c>
      <c r="F40" s="1233" t="s">
        <v>518</v>
      </c>
      <c r="G40" s="102">
        <f>D40-E40</f>
        <v>1477</v>
      </c>
      <c r="H40" s="1193" t="s">
        <v>519</v>
      </c>
      <c r="I40" s="419"/>
      <c r="J40" s="1184" t="s">
        <v>382</v>
      </c>
      <c r="K40" s="16"/>
      <c r="L40" s="38" t="s">
        <v>115</v>
      </c>
      <c r="M40" s="102">
        <f>N40+R40</f>
        <v>1230</v>
      </c>
      <c r="N40" s="270">
        <v>776</v>
      </c>
      <c r="O40" s="1190" t="s">
        <v>274</v>
      </c>
      <c r="P40" s="16"/>
      <c r="Q40" s="38" t="s">
        <v>115</v>
      </c>
      <c r="R40" s="253">
        <v>454</v>
      </c>
      <c r="S40" s="1184" t="s">
        <v>275</v>
      </c>
      <c r="T40" s="419"/>
      <c r="U40" s="419"/>
      <c r="V40" s="15"/>
      <c r="W40" s="1184" t="s">
        <v>73</v>
      </c>
      <c r="X40" s="15"/>
      <c r="Y40" s="22"/>
    </row>
    <row r="41" spans="1:26" ht="100" customHeight="1">
      <c r="A41" s="1253"/>
      <c r="B41" s="35"/>
      <c r="C41" s="175" t="s">
        <v>116</v>
      </c>
      <c r="D41" s="256" t="e">
        <f>D40/VLOOKUP(A40,#REF!,7,0)</f>
        <v>#REF!</v>
      </c>
      <c r="E41" s="103" t="e">
        <f>E40/VLOOKUP(A40,#REF!,7,0)</f>
        <v>#REF!</v>
      </c>
      <c r="F41" s="1247"/>
      <c r="G41" s="446"/>
      <c r="H41" s="1196"/>
      <c r="I41" s="420"/>
      <c r="J41" s="1185"/>
      <c r="K41" s="35"/>
      <c r="L41" s="175" t="s">
        <v>116</v>
      </c>
      <c r="M41" s="437" t="e">
        <f>M40/VLOOKUP(A40,#REF!,7,0)</f>
        <v>#REF!</v>
      </c>
      <c r="N41" s="266" t="e">
        <f>N40/VLOOKUP(A40,#REF!,7,0)</f>
        <v>#REF!</v>
      </c>
      <c r="O41" s="1191"/>
      <c r="P41" s="35"/>
      <c r="Q41" s="175" t="s">
        <v>116</v>
      </c>
      <c r="R41" s="285" t="e">
        <f>R40/VLOOKUP(A40,#REF!,7,0)</f>
        <v>#REF!</v>
      </c>
      <c r="S41" s="1185"/>
      <c r="T41" s="420"/>
      <c r="U41" s="420"/>
      <c r="W41" s="1185"/>
      <c r="Y41" s="448"/>
    </row>
    <row r="42" spans="1:26" ht="186" customHeight="1">
      <c r="A42" s="1254"/>
      <c r="B42" s="12"/>
      <c r="C42" s="53" t="s">
        <v>117</v>
      </c>
      <c r="D42" s="252" t="e">
        <f>(D40/VLOOKUP(A40,#REF!,4,0))*100</f>
        <v>#REF!</v>
      </c>
      <c r="E42" s="104" t="e">
        <f>(E40/VLOOKUP(A40,#REF!,4,0))*100</f>
        <v>#REF!</v>
      </c>
      <c r="F42" s="1248"/>
      <c r="G42" s="453"/>
      <c r="H42" s="1197"/>
      <c r="I42" s="421"/>
      <c r="J42" s="1186"/>
      <c r="K42" s="12"/>
      <c r="L42" s="53" t="s">
        <v>117</v>
      </c>
      <c r="M42" s="17" t="e">
        <f>(M40/VLOOKUP(A40,#REF!,4,0))*100</f>
        <v>#REF!</v>
      </c>
      <c r="N42" s="267" t="e">
        <f>(N40/VLOOKUP(A40,#REF!,4,0))*100</f>
        <v>#REF!</v>
      </c>
      <c r="O42" s="1192"/>
      <c r="P42" s="12"/>
      <c r="Q42" s="53" t="s">
        <v>117</v>
      </c>
      <c r="R42" s="78" t="e">
        <f>(R40/VLOOKUP(A40,#REF!,4,0))*100</f>
        <v>#REF!</v>
      </c>
      <c r="S42" s="1186"/>
      <c r="T42" s="421"/>
      <c r="U42" s="421"/>
      <c r="V42" s="52"/>
      <c r="W42" s="1186"/>
      <c r="X42" s="52"/>
      <c r="Y42" s="449"/>
    </row>
    <row r="43" spans="1:26">
      <c r="A43" s="150"/>
      <c r="B43" s="35"/>
      <c r="C43" s="45"/>
      <c r="E43" s="183"/>
      <c r="F43" s="37"/>
      <c r="G43" s="153"/>
      <c r="H43" s="460"/>
      <c r="I43" s="460"/>
      <c r="J43" s="460"/>
      <c r="K43" s="35"/>
      <c r="L43" s="45"/>
      <c r="M43" s="42"/>
      <c r="P43" s="35"/>
      <c r="Q43" s="45"/>
      <c r="S43" s="184"/>
      <c r="T43" s="184"/>
      <c r="U43" s="184"/>
      <c r="W43" s="460"/>
      <c r="Y43" s="454"/>
    </row>
    <row r="44" spans="1:26" s="2" customFormat="1" ht="13">
      <c r="A44" s="182" t="s">
        <v>136</v>
      </c>
      <c r="B44" s="230"/>
      <c r="C44" s="182"/>
      <c r="D44" s="231"/>
      <c r="E44" s="232"/>
      <c r="F44" s="230"/>
      <c r="G44" s="230"/>
      <c r="H44" s="233"/>
      <c r="I44" s="233"/>
      <c r="J44" s="233"/>
      <c r="K44" s="230"/>
      <c r="L44" s="233"/>
      <c r="M44" s="230"/>
      <c r="N44" s="275"/>
      <c r="O44" s="233"/>
      <c r="P44" s="230"/>
      <c r="Q44" s="233"/>
      <c r="R44" s="287"/>
      <c r="S44" s="233"/>
      <c r="T44" s="241"/>
      <c r="U44" s="241"/>
      <c r="V44" s="52"/>
      <c r="W44" s="12"/>
      <c r="X44" s="52"/>
      <c r="Y44" s="461"/>
    </row>
    <row r="45" spans="1:26" ht="40" customHeight="1">
      <c r="A45" s="1253" t="s">
        <v>9</v>
      </c>
      <c r="B45" s="35"/>
      <c r="C45" s="175" t="s">
        <v>115</v>
      </c>
      <c r="D45" s="257">
        <v>350</v>
      </c>
      <c r="E45" s="103"/>
      <c r="F45" s="1233" t="s">
        <v>384</v>
      </c>
      <c r="G45" s="103">
        <v>350</v>
      </c>
      <c r="H45" s="1190" t="s">
        <v>520</v>
      </c>
      <c r="I45" s="425"/>
      <c r="J45" s="1190" t="s">
        <v>386</v>
      </c>
      <c r="K45" s="35"/>
      <c r="L45" s="175" t="s">
        <v>115</v>
      </c>
      <c r="M45" s="82">
        <f>N45+R45</f>
        <v>350</v>
      </c>
      <c r="N45" s="269"/>
      <c r="O45" s="1190" t="s">
        <v>144</v>
      </c>
      <c r="P45" s="35"/>
      <c r="Q45" s="175" t="s">
        <v>115</v>
      </c>
      <c r="R45" s="251">
        <v>350</v>
      </c>
      <c r="S45" s="1184" t="s">
        <v>103</v>
      </c>
      <c r="T45" s="420"/>
      <c r="U45" s="420"/>
      <c r="W45" s="58"/>
      <c r="Y45" s="58">
        <f>300/D46*350</f>
        <v>19444.444444444442</v>
      </c>
    </row>
    <row r="46" spans="1:26" ht="52.5" customHeight="1">
      <c r="A46" s="1253"/>
      <c r="B46" s="35"/>
      <c r="C46" s="175" t="s">
        <v>280</v>
      </c>
      <c r="D46" s="258">
        <v>5.4</v>
      </c>
      <c r="E46" s="103"/>
      <c r="F46" s="1247"/>
      <c r="G46" s="446"/>
      <c r="H46" s="1191"/>
      <c r="I46" s="425"/>
      <c r="J46" s="1191"/>
      <c r="K46" s="35"/>
      <c r="L46" s="175" t="s">
        <v>116</v>
      </c>
      <c r="M46" s="437"/>
      <c r="N46" s="269"/>
      <c r="O46" s="1191"/>
      <c r="P46" s="35"/>
      <c r="Q46" s="175" t="s">
        <v>282</v>
      </c>
      <c r="R46" s="258">
        <v>5.4</v>
      </c>
      <c r="S46" s="1185"/>
      <c r="T46" s="420"/>
      <c r="U46" s="420"/>
      <c r="W46" s="420" t="s">
        <v>152</v>
      </c>
      <c r="Y46" s="448"/>
    </row>
    <row r="47" spans="1:26" ht="42.65" customHeight="1">
      <c r="A47" s="1254"/>
      <c r="B47" s="12"/>
      <c r="C47" s="53" t="s">
        <v>117</v>
      </c>
      <c r="D47" s="252" t="e">
        <f>(D45/VLOOKUP("Argentina",#REF!,4,0))*100</f>
        <v>#REF!</v>
      </c>
      <c r="E47" s="104"/>
      <c r="F47" s="1248"/>
      <c r="G47" s="453"/>
      <c r="H47" s="1192"/>
      <c r="I47" s="426"/>
      <c r="J47" s="1192"/>
      <c r="K47" s="12"/>
      <c r="L47" s="53" t="s">
        <v>117</v>
      </c>
      <c r="M47" s="438"/>
      <c r="N47" s="267"/>
      <c r="O47" s="1192"/>
      <c r="P47" s="12"/>
      <c r="Q47" s="53" t="s">
        <v>117</v>
      </c>
      <c r="R47" s="252" t="e">
        <f>(R45/VLOOKUP("Argentina",#REF!,4,0))*100</f>
        <v>#REF!</v>
      </c>
      <c r="S47" s="1186"/>
      <c r="T47" s="421"/>
      <c r="U47" s="421"/>
      <c r="V47" s="52"/>
      <c r="W47" s="421"/>
      <c r="X47" s="52"/>
      <c r="Y47" s="449"/>
    </row>
    <row r="48" spans="1:26" ht="67.5" customHeight="1">
      <c r="A48" s="1253" t="s">
        <v>10</v>
      </c>
      <c r="B48" s="16"/>
      <c r="C48" s="175" t="s">
        <v>115</v>
      </c>
      <c r="D48" s="253">
        <v>205</v>
      </c>
      <c r="E48" s="102">
        <v>20</v>
      </c>
      <c r="F48" s="1220" t="s">
        <v>387</v>
      </c>
      <c r="G48" s="102"/>
      <c r="H48" s="1193" t="s">
        <v>388</v>
      </c>
      <c r="I48" s="427"/>
      <c r="J48" s="1193" t="s">
        <v>389</v>
      </c>
      <c r="K48" s="16"/>
      <c r="L48" s="175" t="s">
        <v>115</v>
      </c>
      <c r="M48" s="436">
        <v>264</v>
      </c>
      <c r="N48" s="270">
        <f>5+12.6+212</f>
        <v>229.6</v>
      </c>
      <c r="O48" s="1190" t="s">
        <v>466</v>
      </c>
      <c r="P48" s="16"/>
      <c r="Q48" s="175" t="s">
        <v>115</v>
      </c>
      <c r="R48" s="253">
        <v>34</v>
      </c>
      <c r="S48" s="1184" t="s">
        <v>290</v>
      </c>
      <c r="T48" s="419"/>
      <c r="U48" s="419"/>
      <c r="V48" s="15"/>
      <c r="W48" s="1184" t="s">
        <v>75</v>
      </c>
      <c r="X48" s="15"/>
      <c r="Y48" s="22">
        <f>5+12.6+212</f>
        <v>229.6</v>
      </c>
    </row>
    <row r="49" spans="1:25" ht="80.150000000000006" customHeight="1">
      <c r="A49" s="1253"/>
      <c r="B49" s="35"/>
      <c r="C49" s="175" t="s">
        <v>116</v>
      </c>
      <c r="D49" s="251" t="e">
        <f>D48/VLOOKUP(A48,#REF!,7,0)</f>
        <v>#REF!</v>
      </c>
      <c r="E49" s="103" t="e">
        <f>E48/VLOOKUP(A48,#REF!,7,0)</f>
        <v>#REF!</v>
      </c>
      <c r="F49" s="1221"/>
      <c r="G49" s="446"/>
      <c r="H49" s="1196"/>
      <c r="I49" s="430"/>
      <c r="J49" s="1196"/>
      <c r="K49" s="35"/>
      <c r="L49" s="175" t="s">
        <v>116</v>
      </c>
      <c r="M49" s="82" t="e">
        <f>M48/VLOOKUP(A48,#REF!,7,0)</f>
        <v>#REF!</v>
      </c>
      <c r="N49" s="266" t="e">
        <f>N48/VLOOKUP(A48,#REF!,7,0)</f>
        <v>#REF!</v>
      </c>
      <c r="O49" s="1191"/>
      <c r="P49" s="35"/>
      <c r="Q49" s="175" t="s">
        <v>116</v>
      </c>
      <c r="R49" s="258" t="e">
        <f>R48/VLOOKUP(A48,#REF!,7,0)</f>
        <v>#REF!</v>
      </c>
      <c r="S49" s="1185"/>
      <c r="T49" s="420"/>
      <c r="U49" s="420"/>
      <c r="W49" s="1185"/>
      <c r="Y49" s="448" t="e">
        <f>N49/N48*Y48</f>
        <v>#REF!</v>
      </c>
    </row>
    <row r="50" spans="1:25" ht="73.5" customHeight="1">
      <c r="A50" s="1254"/>
      <c r="B50" s="35"/>
      <c r="C50" s="175" t="s">
        <v>117</v>
      </c>
      <c r="D50" s="258" t="e">
        <f>(D48/VLOOKUP(A48,#REF!,4,0))*100</f>
        <v>#REF!</v>
      </c>
      <c r="E50" s="103"/>
      <c r="F50" s="1222"/>
      <c r="G50" s="446"/>
      <c r="H50" s="1197"/>
      <c r="I50" s="430"/>
      <c r="J50" s="1197"/>
      <c r="K50" s="35"/>
      <c r="L50" s="175" t="s">
        <v>117</v>
      </c>
      <c r="M50" s="82" t="e">
        <f>(M48/VLOOKUP(A48,#REF!,4,0))*100</f>
        <v>#REF!</v>
      </c>
      <c r="N50" s="269" t="e">
        <f>(N48/VLOOKUP(A48,#REF!,4,0))*100</f>
        <v>#REF!</v>
      </c>
      <c r="O50" s="1192"/>
      <c r="P50" s="35"/>
      <c r="Q50" s="175" t="s">
        <v>117</v>
      </c>
      <c r="R50" s="258" t="e">
        <f>(R48/VLOOKUP(A48,#REF!,4,0))*100</f>
        <v>#REF!</v>
      </c>
      <c r="S50" s="1186"/>
      <c r="T50" s="420"/>
      <c r="U50" s="420"/>
      <c r="W50" s="1186"/>
      <c r="Y50" s="448"/>
    </row>
    <row r="51" spans="1:25" s="459" customFormat="1" ht="89.15" customHeight="1">
      <c r="A51" s="1253" t="s">
        <v>11</v>
      </c>
      <c r="C51" s="38" t="s">
        <v>115</v>
      </c>
      <c r="D51" s="186">
        <v>2567</v>
      </c>
      <c r="E51" s="433">
        <v>110</v>
      </c>
      <c r="F51" s="1220" t="s">
        <v>390</v>
      </c>
      <c r="G51" s="433">
        <v>2390</v>
      </c>
      <c r="H51" s="1190" t="s">
        <v>391</v>
      </c>
      <c r="I51" s="424"/>
      <c r="J51" s="1190" t="s">
        <v>392</v>
      </c>
      <c r="L51" s="38" t="s">
        <v>115</v>
      </c>
      <c r="M51" s="433"/>
      <c r="N51" s="276"/>
      <c r="O51" s="456"/>
      <c r="Q51" s="38" t="s">
        <v>115</v>
      </c>
      <c r="R51" s="464"/>
      <c r="S51" s="456"/>
      <c r="T51" s="456"/>
      <c r="U51" s="456"/>
      <c r="W51" s="1184" t="s">
        <v>76</v>
      </c>
      <c r="Y51" s="419"/>
    </row>
    <row r="52" spans="1:25" ht="87" customHeight="1">
      <c r="A52" s="1253"/>
      <c r="B52" s="35"/>
      <c r="C52" s="175" t="s">
        <v>116</v>
      </c>
      <c r="D52" s="251" t="e">
        <f>D51/VLOOKUP(A51,#REF!,7,0)</f>
        <v>#REF!</v>
      </c>
      <c r="E52" s="434"/>
      <c r="F52" s="1221"/>
      <c r="G52" s="446"/>
      <c r="H52" s="1191"/>
      <c r="I52" s="425"/>
      <c r="J52" s="1191"/>
      <c r="K52" s="35"/>
      <c r="L52" s="175" t="s">
        <v>116</v>
      </c>
      <c r="M52" s="437"/>
      <c r="N52" s="269"/>
      <c r="O52" s="58"/>
      <c r="P52" s="35"/>
      <c r="Q52" s="175" t="s">
        <v>116</v>
      </c>
      <c r="R52" s="258"/>
      <c r="S52" s="420"/>
      <c r="T52" s="420"/>
      <c r="U52" s="420"/>
      <c r="W52" s="1185"/>
      <c r="Y52" s="448"/>
    </row>
    <row r="53" spans="1:25" ht="51.65" customHeight="1">
      <c r="A53" s="1254"/>
      <c r="B53" s="12"/>
      <c r="C53" s="53" t="s">
        <v>117</v>
      </c>
      <c r="D53" s="252" t="e">
        <f>(D51/VLOOKUP(A51,#REF!,4,0))*100</f>
        <v>#REF!</v>
      </c>
      <c r="E53" s="435"/>
      <c r="F53" s="1222"/>
      <c r="G53" s="453"/>
      <c r="H53" s="1192"/>
      <c r="I53" s="426"/>
      <c r="J53" s="1192"/>
      <c r="K53" s="12"/>
      <c r="L53" s="53" t="s">
        <v>117</v>
      </c>
      <c r="M53" s="438"/>
      <c r="N53" s="267"/>
      <c r="O53" s="57"/>
      <c r="P53" s="12"/>
      <c r="Q53" s="53" t="s">
        <v>117</v>
      </c>
      <c r="R53" s="252"/>
      <c r="S53" s="421"/>
      <c r="T53" s="420"/>
      <c r="U53" s="420"/>
      <c r="W53" s="1185"/>
      <c r="Y53" s="448"/>
    </row>
    <row r="54" spans="1:25" s="459" customFormat="1" ht="61" customHeight="1">
      <c r="A54" s="1253" t="s">
        <v>12</v>
      </c>
      <c r="C54" s="38" t="s">
        <v>115</v>
      </c>
      <c r="D54" s="186">
        <v>1570</v>
      </c>
      <c r="E54" s="433">
        <v>150</v>
      </c>
      <c r="F54" s="1184" t="s">
        <v>393</v>
      </c>
      <c r="G54" s="186">
        <v>1420</v>
      </c>
      <c r="H54" s="1190" t="s">
        <v>394</v>
      </c>
      <c r="I54" s="424"/>
      <c r="J54" s="1190" t="s">
        <v>395</v>
      </c>
      <c r="L54" s="38" t="s">
        <v>115</v>
      </c>
      <c r="M54" s="433"/>
      <c r="N54" s="276"/>
      <c r="O54" s="419"/>
      <c r="Q54" s="38" t="s">
        <v>115</v>
      </c>
      <c r="R54" s="464"/>
      <c r="S54" s="419"/>
      <c r="T54" s="419"/>
      <c r="U54" s="419"/>
      <c r="W54" s="419"/>
      <c r="Y54" s="1225" t="s">
        <v>57</v>
      </c>
    </row>
    <row r="55" spans="1:25" s="460" customFormat="1" ht="120" customHeight="1">
      <c r="A55" s="1253"/>
      <c r="C55" s="175" t="s">
        <v>116</v>
      </c>
      <c r="D55" s="251" t="e">
        <f>D54/VLOOKUP(A54,#REF!,7,0)</f>
        <v>#REF!</v>
      </c>
      <c r="E55" s="462">
        <v>0.1</v>
      </c>
      <c r="F55" s="1185"/>
      <c r="G55" s="462">
        <v>0.8</v>
      </c>
      <c r="H55" s="1191"/>
      <c r="I55" s="425"/>
      <c r="J55" s="1191"/>
      <c r="L55" s="175" t="s">
        <v>116</v>
      </c>
      <c r="M55" s="434"/>
      <c r="N55" s="277"/>
      <c r="O55" s="420"/>
      <c r="Q55" s="175" t="s">
        <v>116</v>
      </c>
      <c r="R55" s="465"/>
      <c r="S55" s="420"/>
      <c r="T55" s="420"/>
      <c r="U55" s="420"/>
      <c r="W55" s="420"/>
      <c r="Y55" s="1226"/>
    </row>
    <row r="56" spans="1:25" ht="110.5" customHeight="1">
      <c r="A56" s="1254"/>
      <c r="B56" s="35"/>
      <c r="C56" s="175" t="s">
        <v>117</v>
      </c>
      <c r="D56" s="258" t="e">
        <f>(D54/VLOOKUP(A54,#REF!,4,0))*100</f>
        <v>#REF!</v>
      </c>
      <c r="E56" s="462"/>
      <c r="F56" s="1186"/>
      <c r="G56" s="446"/>
      <c r="H56" s="1192"/>
      <c r="I56" s="425"/>
      <c r="J56" s="1192"/>
      <c r="K56" s="35"/>
      <c r="L56" s="175" t="s">
        <v>117</v>
      </c>
      <c r="M56" s="437"/>
      <c r="N56" s="269"/>
      <c r="O56" s="58"/>
      <c r="P56" s="35"/>
      <c r="Q56" s="175" t="s">
        <v>117</v>
      </c>
      <c r="R56" s="258"/>
      <c r="S56" s="420"/>
      <c r="T56" s="420"/>
      <c r="U56" s="420"/>
      <c r="W56" s="420"/>
      <c r="Y56" s="1227"/>
    </row>
    <row r="57" spans="1:25" s="459" customFormat="1" ht="73.5" customHeight="1">
      <c r="A57" s="1253" t="s">
        <v>13</v>
      </c>
      <c r="C57" s="38" t="s">
        <v>115</v>
      </c>
      <c r="D57" s="186">
        <v>289000</v>
      </c>
      <c r="E57" s="433">
        <v>76000</v>
      </c>
      <c r="F57" s="1184" t="s">
        <v>396</v>
      </c>
      <c r="G57" s="433">
        <v>213000</v>
      </c>
      <c r="H57" s="1190" t="s">
        <v>522</v>
      </c>
      <c r="I57" s="424"/>
      <c r="J57" s="424"/>
      <c r="L57" s="38" t="s">
        <v>115</v>
      </c>
      <c r="M57" s="404">
        <f>N57+R57</f>
        <v>150000</v>
      </c>
      <c r="N57" s="186">
        <v>150000</v>
      </c>
      <c r="O57" s="424"/>
      <c r="Q57" s="38" t="s">
        <v>115</v>
      </c>
      <c r="R57" s="186"/>
      <c r="S57" s="1190"/>
      <c r="T57" s="424"/>
      <c r="U57" s="424"/>
      <c r="W57" s="419"/>
      <c r="Y57" s="419"/>
    </row>
    <row r="58" spans="1:25" s="460" customFormat="1" ht="100" customHeight="1">
      <c r="A58" s="1253"/>
      <c r="C58" s="175" t="s">
        <v>116</v>
      </c>
      <c r="D58" s="251" t="e">
        <f>D57/VLOOKUP(A57,#REF!,7,0)</f>
        <v>#REF!</v>
      </c>
      <c r="E58" s="446" t="e">
        <f>E57/VLOOKUP(A57,#REF!,7,0)</f>
        <v>#REF!</v>
      </c>
      <c r="F58" s="1185"/>
      <c r="G58" s="434"/>
      <c r="H58" s="1191"/>
      <c r="I58" s="425"/>
      <c r="J58" s="425"/>
      <c r="L58" s="175" t="s">
        <v>116</v>
      </c>
      <c r="M58" s="434"/>
      <c r="N58" s="465" t="e">
        <f>N57/#REF!</f>
        <v>#REF!</v>
      </c>
      <c r="O58" s="60" t="s">
        <v>467</v>
      </c>
      <c r="Q58" s="175" t="s">
        <v>116</v>
      </c>
      <c r="R58" s="465"/>
      <c r="S58" s="1191"/>
      <c r="T58" s="425"/>
      <c r="U58" s="425"/>
      <c r="W58" s="420"/>
      <c r="Y58" s="420"/>
    </row>
    <row r="59" spans="1:25" s="2" customFormat="1" ht="121.5" customHeight="1">
      <c r="A59" s="1254"/>
      <c r="B59" s="12"/>
      <c r="C59" s="53" t="s">
        <v>117</v>
      </c>
      <c r="D59" s="252" t="e">
        <f>(D57/VLOOKUP(A57,#REF!,4,0))*100</f>
        <v>#REF!</v>
      </c>
      <c r="E59" s="97"/>
      <c r="F59" s="1186"/>
      <c r="G59" s="453"/>
      <c r="H59" s="1192"/>
      <c r="I59" s="426"/>
      <c r="J59" s="426"/>
      <c r="K59" s="12"/>
      <c r="L59" s="53" t="s">
        <v>117</v>
      </c>
      <c r="M59" s="438"/>
      <c r="N59" s="252" t="e">
        <f>N57/#REF!*100</f>
        <v>#REF!</v>
      </c>
      <c r="O59" s="59"/>
      <c r="P59" s="12"/>
      <c r="Q59" s="53" t="s">
        <v>117</v>
      </c>
      <c r="R59" s="252"/>
      <c r="S59" s="1192"/>
      <c r="T59" s="426"/>
      <c r="U59" s="426"/>
      <c r="V59" s="52"/>
      <c r="W59" s="192" t="s">
        <v>296</v>
      </c>
      <c r="X59" s="52"/>
      <c r="Y59" s="449"/>
    </row>
    <row r="60" spans="1:25" s="37" customFormat="1" ht="42" customHeight="1">
      <c r="A60" s="1253" t="s">
        <v>14</v>
      </c>
      <c r="C60" s="175" t="s">
        <v>115</v>
      </c>
      <c r="D60" s="257">
        <v>180</v>
      </c>
      <c r="E60" s="434"/>
      <c r="F60" s="1233" t="s">
        <v>398</v>
      </c>
      <c r="G60" s="434"/>
      <c r="H60" s="1190"/>
      <c r="I60" s="425"/>
      <c r="J60" s="1190" t="s">
        <v>399</v>
      </c>
      <c r="L60" s="175" t="s">
        <v>115</v>
      </c>
      <c r="M60" s="446">
        <f>N60+R60</f>
        <v>75</v>
      </c>
      <c r="N60" s="265">
        <v>75</v>
      </c>
      <c r="O60" s="1184" t="s">
        <v>415</v>
      </c>
      <c r="Q60" s="175" t="s">
        <v>115</v>
      </c>
      <c r="R60" s="465"/>
      <c r="S60" s="420"/>
      <c r="T60" s="420"/>
      <c r="U60" s="420"/>
      <c r="W60" s="1184" t="s">
        <v>77</v>
      </c>
      <c r="Y60" s="1225" t="s">
        <v>58</v>
      </c>
    </row>
    <row r="61" spans="1:25" s="37" customFormat="1" ht="37.5" customHeight="1">
      <c r="A61" s="1253"/>
      <c r="C61" s="175" t="s">
        <v>116</v>
      </c>
      <c r="D61" s="258" t="e">
        <f>D60/VLOOKUP(A60,#REF!,7,0)</f>
        <v>#REF!</v>
      </c>
      <c r="E61" s="434"/>
      <c r="F61" s="1247"/>
      <c r="G61" s="434"/>
      <c r="H61" s="1191"/>
      <c r="I61" s="425"/>
      <c r="J61" s="1191"/>
      <c r="L61" s="175" t="s">
        <v>116</v>
      </c>
      <c r="M61" s="434"/>
      <c r="N61" s="277" t="e">
        <f>N60/VLOOKUP(A60,#REF!,7,0)</f>
        <v>#REF!</v>
      </c>
      <c r="O61" s="1185"/>
      <c r="Q61" s="175" t="s">
        <v>116</v>
      </c>
      <c r="R61" s="465"/>
      <c r="S61" s="420"/>
      <c r="T61" s="420"/>
      <c r="U61" s="420"/>
      <c r="W61" s="1185"/>
      <c r="Y61" s="1226"/>
    </row>
    <row r="62" spans="1:25" s="61" customFormat="1" ht="50.5" customHeight="1">
      <c r="A62" s="1254"/>
      <c r="C62" s="53" t="s">
        <v>117</v>
      </c>
      <c r="D62" s="252" t="e">
        <f>(D60/VLOOKUP(A60,#REF!,4,0))*100</f>
        <v>#REF!</v>
      </c>
      <c r="E62" s="435"/>
      <c r="F62" s="1248"/>
      <c r="G62" s="435"/>
      <c r="H62" s="1192"/>
      <c r="I62" s="426"/>
      <c r="J62" s="1192"/>
      <c r="L62" s="53" t="s">
        <v>117</v>
      </c>
      <c r="M62" s="435"/>
      <c r="N62" s="278" t="e">
        <f>(N60/VLOOKUP(A60,#REF!,4,0))*100</f>
        <v>#REF!</v>
      </c>
      <c r="O62" s="1186"/>
      <c r="Q62" s="53" t="s">
        <v>117</v>
      </c>
      <c r="R62" s="466"/>
      <c r="S62" s="421"/>
      <c r="T62" s="421"/>
      <c r="U62" s="421"/>
      <c r="W62" s="1186"/>
      <c r="Y62" s="1227"/>
    </row>
    <row r="63" spans="1:25" s="460" customFormat="1" ht="104.5" customHeight="1">
      <c r="A63" s="1253" t="s">
        <v>15</v>
      </c>
      <c r="B63" s="459"/>
      <c r="C63" s="175" t="s">
        <v>115</v>
      </c>
      <c r="D63" s="255">
        <f>142+800+285</f>
        <v>1227</v>
      </c>
      <c r="E63" s="433">
        <v>142</v>
      </c>
      <c r="F63" s="1184" t="s">
        <v>400</v>
      </c>
      <c r="G63" s="433"/>
      <c r="H63" s="1184" t="s">
        <v>401</v>
      </c>
      <c r="I63" s="419"/>
      <c r="J63" s="1184" t="s">
        <v>402</v>
      </c>
      <c r="K63" s="459"/>
      <c r="L63" s="175" t="s">
        <v>115</v>
      </c>
      <c r="M63" s="177">
        <f>N63+R63</f>
        <v>700</v>
      </c>
      <c r="N63" s="265">
        <v>700</v>
      </c>
      <c r="O63" s="1193" t="s">
        <v>521</v>
      </c>
      <c r="P63" s="459"/>
      <c r="Q63" s="175" t="s">
        <v>115</v>
      </c>
      <c r="R63" s="257"/>
      <c r="S63" s="1187"/>
      <c r="T63" s="422"/>
      <c r="U63" s="422"/>
      <c r="V63" s="459"/>
      <c r="W63" s="419"/>
      <c r="X63" s="459"/>
      <c r="Y63" s="419"/>
    </row>
    <row r="64" spans="1:25" s="460" customFormat="1" ht="101.5" customHeight="1">
      <c r="A64" s="1253"/>
      <c r="C64" s="175" t="s">
        <v>116</v>
      </c>
      <c r="D64" s="251" t="e">
        <f>D63/VLOOKUP(A63,#REF!,7,0)</f>
        <v>#REF!</v>
      </c>
      <c r="E64" s="446" t="e">
        <f>E63/VLOOKUP(A63,#REF!,7,0)</f>
        <v>#REF!</v>
      </c>
      <c r="F64" s="1185"/>
      <c r="G64" s="434"/>
      <c r="H64" s="1185"/>
      <c r="I64" s="420"/>
      <c r="J64" s="1185"/>
      <c r="L64" s="175" t="s">
        <v>116</v>
      </c>
      <c r="M64" s="434"/>
      <c r="N64" s="269" t="e">
        <f>N63/VLOOKUP(A63,#REF!,7,0)</f>
        <v>#REF!</v>
      </c>
      <c r="O64" s="1196"/>
      <c r="Q64" s="175" t="s">
        <v>116</v>
      </c>
      <c r="R64" s="258"/>
      <c r="S64" s="1188"/>
      <c r="T64" s="423"/>
      <c r="U64" s="423"/>
      <c r="W64" s="420"/>
      <c r="Y64" s="420"/>
    </row>
    <row r="65" spans="1:25" ht="110.15" customHeight="1">
      <c r="A65" s="1254"/>
      <c r="B65" s="35"/>
      <c r="C65" s="175" t="s">
        <v>117</v>
      </c>
      <c r="D65" s="258" t="e">
        <f>(D63/VLOOKUP(A63,#REF!,4,0))*100</f>
        <v>#REF!</v>
      </c>
      <c r="E65" s="414" t="e">
        <f>(E63/VLOOKUP(A63,#REF!,4,0))*100</f>
        <v>#REF!</v>
      </c>
      <c r="F65" s="1186"/>
      <c r="G65" s="446"/>
      <c r="H65" s="1186"/>
      <c r="I65" s="420"/>
      <c r="J65" s="1186"/>
      <c r="K65" s="35"/>
      <c r="L65" s="175" t="s">
        <v>117</v>
      </c>
      <c r="M65" s="437"/>
      <c r="N65" s="269" t="e">
        <f>(N63/VLOOKUP(A63,#REF!,4,0))*100</f>
        <v>#REF!</v>
      </c>
      <c r="O65" s="1197"/>
      <c r="P65" s="35"/>
      <c r="Q65" s="175" t="s">
        <v>117</v>
      </c>
      <c r="R65" s="258"/>
      <c r="S65" s="1189"/>
      <c r="T65" s="423"/>
      <c r="U65" s="423"/>
      <c r="W65" s="420"/>
      <c r="Y65" s="448"/>
    </row>
    <row r="66" spans="1:25" s="459" customFormat="1" ht="60" customHeight="1">
      <c r="A66" s="1253" t="s">
        <v>16</v>
      </c>
      <c r="C66" s="38" t="s">
        <v>115</v>
      </c>
      <c r="D66" s="255">
        <v>79</v>
      </c>
      <c r="E66" s="433">
        <v>10</v>
      </c>
      <c r="F66" s="1184" t="s">
        <v>403</v>
      </c>
      <c r="G66" s="433"/>
      <c r="H66" s="1184" t="s">
        <v>404</v>
      </c>
      <c r="I66" s="419"/>
      <c r="J66" s="1184" t="s">
        <v>405</v>
      </c>
      <c r="L66" s="38" t="s">
        <v>115</v>
      </c>
      <c r="M66" s="433">
        <v>22</v>
      </c>
      <c r="N66" s="274">
        <v>31</v>
      </c>
      <c r="O66" s="1184" t="s">
        <v>284</v>
      </c>
      <c r="Q66" s="38" t="s">
        <v>115</v>
      </c>
      <c r="R66" s="464"/>
      <c r="S66" s="419"/>
      <c r="T66" s="419"/>
      <c r="U66" s="419"/>
      <c r="W66" s="419"/>
      <c r="Y66" s="1225" t="s">
        <v>59</v>
      </c>
    </row>
    <row r="67" spans="1:25" s="460" customFormat="1" ht="60" customHeight="1">
      <c r="A67" s="1253"/>
      <c r="C67" s="175" t="s">
        <v>116</v>
      </c>
      <c r="D67" s="258" t="e">
        <f>D66/#REF!</f>
        <v>#REF!</v>
      </c>
      <c r="E67" s="434"/>
      <c r="F67" s="1185"/>
      <c r="G67" s="434"/>
      <c r="H67" s="1185"/>
      <c r="I67" s="420"/>
      <c r="J67" s="1185"/>
      <c r="L67" s="175" t="s">
        <v>116</v>
      </c>
      <c r="M67" s="446" t="e">
        <f>M66/VLOOKUP(A66,#REF!,7,0)</f>
        <v>#REF!</v>
      </c>
      <c r="N67" s="269" t="e">
        <f>N66/VLOOKUP(A66,#REF!,7,0)</f>
        <v>#REF!</v>
      </c>
      <c r="O67" s="1185"/>
      <c r="Q67" s="175" t="s">
        <v>116</v>
      </c>
      <c r="R67" s="465"/>
      <c r="S67" s="420"/>
      <c r="T67" s="420"/>
      <c r="U67" s="420"/>
      <c r="W67" s="420"/>
      <c r="Y67" s="1226"/>
    </row>
    <row r="68" spans="1:25" ht="98.15" customHeight="1">
      <c r="A68" s="1254"/>
      <c r="B68" s="12"/>
      <c r="C68" s="53" t="s">
        <v>117</v>
      </c>
      <c r="D68" s="252" t="e">
        <f>D66/#REF!*100</f>
        <v>#REF!</v>
      </c>
      <c r="E68" s="97"/>
      <c r="F68" s="1186"/>
      <c r="G68" s="453"/>
      <c r="H68" s="1186"/>
      <c r="I68" s="421"/>
      <c r="J68" s="1186"/>
      <c r="K68" s="12"/>
      <c r="L68" s="53" t="s">
        <v>117</v>
      </c>
      <c r="M68" s="17" t="e">
        <f>(M66/VLOOKUP(A66,#REF!,4,0))*100</f>
        <v>#REF!</v>
      </c>
      <c r="N68" s="267" t="e">
        <f>(N66/VLOOKUP(A66,#REF!,4,0))*100</f>
        <v>#REF!</v>
      </c>
      <c r="O68" s="1186"/>
      <c r="P68" s="12"/>
      <c r="Q68" s="53" t="s">
        <v>117</v>
      </c>
      <c r="R68" s="252"/>
      <c r="S68" s="421"/>
      <c r="T68" s="421"/>
      <c r="U68" s="421"/>
      <c r="V68" s="52"/>
      <c r="W68" s="421"/>
      <c r="X68" s="52"/>
      <c r="Y68" s="449"/>
    </row>
    <row r="69" spans="1:25" s="460" customFormat="1" ht="60" customHeight="1">
      <c r="A69" s="1253" t="s">
        <v>17</v>
      </c>
      <c r="B69" s="459"/>
      <c r="C69" s="175" t="s">
        <v>115</v>
      </c>
      <c r="D69" s="464">
        <v>312.85000000000002</v>
      </c>
      <c r="E69" s="400">
        <v>20</v>
      </c>
      <c r="F69" s="1184" t="s">
        <v>535</v>
      </c>
      <c r="G69" s="433"/>
      <c r="H69" s="1190" t="s">
        <v>536</v>
      </c>
      <c r="I69" s="424"/>
      <c r="J69" s="1190" t="s">
        <v>474</v>
      </c>
      <c r="K69" s="459"/>
      <c r="L69" s="175" t="s">
        <v>115</v>
      </c>
      <c r="M69" s="177">
        <f>SUM(N69,R69)</f>
        <v>203</v>
      </c>
      <c r="N69" s="274">
        <v>3</v>
      </c>
      <c r="O69" s="1193" t="s">
        <v>475</v>
      </c>
      <c r="P69" s="459"/>
      <c r="Q69" s="175" t="s">
        <v>115</v>
      </c>
      <c r="R69" s="255">
        <v>200</v>
      </c>
      <c r="S69" s="1190" t="s">
        <v>468</v>
      </c>
      <c r="T69" s="419"/>
      <c r="U69" s="419"/>
      <c r="V69" s="459"/>
      <c r="W69" s="419"/>
      <c r="X69" s="459"/>
      <c r="Y69" s="419"/>
    </row>
    <row r="70" spans="1:25" s="460" customFormat="1" ht="60" customHeight="1">
      <c r="A70" s="1253"/>
      <c r="C70" s="175" t="s">
        <v>116</v>
      </c>
      <c r="D70" s="258" t="e">
        <f>D69/#REF!</f>
        <v>#REF!</v>
      </c>
      <c r="E70" s="60"/>
      <c r="F70" s="1185"/>
      <c r="G70" s="434"/>
      <c r="H70" s="1191"/>
      <c r="I70" s="425"/>
      <c r="J70" s="1191"/>
      <c r="L70" s="175" t="s">
        <v>116</v>
      </c>
      <c r="M70" s="177" t="e">
        <f>SUM(N70,R70)</f>
        <v>#REF!</v>
      </c>
      <c r="N70" s="269" t="e">
        <f>N69/VLOOKUP(A69,#REF!,7,0)</f>
        <v>#REF!</v>
      </c>
      <c r="O70" s="1196"/>
      <c r="Q70" s="175" t="s">
        <v>116</v>
      </c>
      <c r="R70" s="465" t="e">
        <f>R69/VLOOKUP(A69,#REF!,7,0)</f>
        <v>#REF!</v>
      </c>
      <c r="S70" s="1191"/>
      <c r="T70" s="420"/>
      <c r="U70" s="420"/>
      <c r="W70" s="420"/>
      <c r="Y70" s="420"/>
    </row>
    <row r="71" spans="1:25" ht="165" customHeight="1">
      <c r="A71" s="1254"/>
      <c r="B71" s="12"/>
      <c r="C71" s="53" t="s">
        <v>117</v>
      </c>
      <c r="D71" s="252" t="e">
        <f>D69/#REF!*100</f>
        <v>#REF!</v>
      </c>
      <c r="E71" s="97"/>
      <c r="F71" s="1186"/>
      <c r="G71" s="453"/>
      <c r="H71" s="1192"/>
      <c r="I71" s="426"/>
      <c r="J71" s="1192"/>
      <c r="K71" s="12"/>
      <c r="L71" s="53" t="s">
        <v>117</v>
      </c>
      <c r="M71" s="445" t="e">
        <f>SUM(N71,R71)</f>
        <v>#REF!</v>
      </c>
      <c r="N71" s="267" t="e">
        <f>(N69/VLOOKUP(A69,#REF!,4,0))*100</f>
        <v>#REF!</v>
      </c>
      <c r="O71" s="1197"/>
      <c r="P71" s="12"/>
      <c r="Q71" s="53" t="s">
        <v>117</v>
      </c>
      <c r="R71" s="252" t="e">
        <f>(R69/VLOOKUP(A69,#REF!,4,0))*100</f>
        <v>#REF!</v>
      </c>
      <c r="S71" s="1192"/>
      <c r="T71" s="421"/>
      <c r="U71" s="421"/>
      <c r="V71" s="52"/>
      <c r="W71" s="421"/>
      <c r="X71" s="52"/>
      <c r="Y71" s="449"/>
    </row>
    <row r="72" spans="1:25" s="37" customFormat="1" ht="50.15" customHeight="1">
      <c r="A72" s="1253" t="s">
        <v>18</v>
      </c>
      <c r="B72" s="14"/>
      <c r="C72" s="175" t="s">
        <v>115</v>
      </c>
      <c r="D72" s="255">
        <v>75</v>
      </c>
      <c r="E72" s="1199"/>
      <c r="F72" s="1184"/>
      <c r="G72" s="1199">
        <v>75</v>
      </c>
      <c r="H72" s="1190" t="s">
        <v>473</v>
      </c>
      <c r="I72" s="424"/>
      <c r="J72" s="1190" t="s">
        <v>409</v>
      </c>
      <c r="K72" s="14"/>
      <c r="L72" s="175" t="s">
        <v>115</v>
      </c>
      <c r="M72" s="445">
        <f>N72+R72</f>
        <v>25</v>
      </c>
      <c r="N72" s="276"/>
      <c r="O72" s="1193" t="s">
        <v>146</v>
      </c>
      <c r="P72" s="14"/>
      <c r="Q72" s="175" t="s">
        <v>115</v>
      </c>
      <c r="R72" s="255">
        <v>25</v>
      </c>
      <c r="S72" s="1184" t="s">
        <v>229</v>
      </c>
      <c r="T72" s="419"/>
      <c r="U72" s="419"/>
      <c r="V72" s="14"/>
      <c r="W72" s="419"/>
      <c r="X72" s="14"/>
      <c r="Y72" s="419"/>
    </row>
    <row r="73" spans="1:25" s="37" customFormat="1" ht="50.15" customHeight="1">
      <c r="A73" s="1253"/>
      <c r="C73" s="175" t="s">
        <v>116</v>
      </c>
      <c r="D73" s="251" t="e">
        <f>D72/VLOOKUP(A72,#REF!,7,0)</f>
        <v>#REF!</v>
      </c>
      <c r="E73" s="1200"/>
      <c r="F73" s="1185"/>
      <c r="G73" s="1200"/>
      <c r="H73" s="1191"/>
      <c r="I73" s="425"/>
      <c r="J73" s="1191"/>
      <c r="L73" s="175" t="s">
        <v>116</v>
      </c>
      <c r="M73" s="434"/>
      <c r="N73" s="277"/>
      <c r="O73" s="1196"/>
      <c r="Q73" s="175" t="s">
        <v>116</v>
      </c>
      <c r="R73" s="258" t="e">
        <f>R72/VLOOKUP(A72,#REF!,7,0)</f>
        <v>#REF!</v>
      </c>
      <c r="S73" s="1185"/>
      <c r="T73" s="420"/>
      <c r="U73" s="420"/>
      <c r="W73" s="420"/>
      <c r="Y73" s="420"/>
    </row>
    <row r="74" spans="1:25" ht="50.15" customHeight="1">
      <c r="A74" s="1254"/>
      <c r="B74" s="12"/>
      <c r="C74" s="53" t="s">
        <v>117</v>
      </c>
      <c r="D74" s="252" t="e">
        <f>(D72/VLOOKUP(A72,#REF!,4,0))*100</f>
        <v>#REF!</v>
      </c>
      <c r="E74" s="97"/>
      <c r="F74" s="1186"/>
      <c r="G74" s="453"/>
      <c r="H74" s="1192"/>
      <c r="I74" s="426"/>
      <c r="J74" s="1192"/>
      <c r="K74" s="12"/>
      <c r="L74" s="53" t="s">
        <v>117</v>
      </c>
      <c r="M74" s="438"/>
      <c r="N74" s="267"/>
      <c r="O74" s="1197"/>
      <c r="P74" s="12"/>
      <c r="Q74" s="53" t="s">
        <v>117</v>
      </c>
      <c r="R74" s="252" t="e">
        <f>(R72/VLOOKUP(A72,#REF!,4,0))*100</f>
        <v>#REF!</v>
      </c>
      <c r="S74" s="1186"/>
      <c r="T74" s="421"/>
      <c r="U74" s="421"/>
      <c r="V74" s="52"/>
      <c r="W74" s="421"/>
      <c r="X74" s="52"/>
      <c r="Y74" s="449"/>
    </row>
    <row r="75" spans="1:25">
      <c r="G75" s="42"/>
    </row>
    <row r="76" spans="1:25" ht="13">
      <c r="A76" s="108" t="s">
        <v>134</v>
      </c>
      <c r="B76" s="109"/>
      <c r="C76" s="108"/>
      <c r="D76" s="110"/>
      <c r="E76" s="111"/>
      <c r="F76" s="109"/>
      <c r="G76" s="112"/>
      <c r="H76" s="113"/>
      <c r="I76" s="113"/>
      <c r="J76" s="113"/>
      <c r="K76" s="109"/>
      <c r="L76" s="113"/>
      <c r="M76" s="109"/>
      <c r="N76" s="264"/>
      <c r="O76" s="113"/>
      <c r="P76" s="109"/>
      <c r="Q76" s="113"/>
      <c r="R76" s="284"/>
      <c r="S76" s="113"/>
      <c r="T76" s="113"/>
      <c r="U76" s="113"/>
    </row>
    <row r="77" spans="1:25" s="460" customFormat="1" ht="80.5" customHeight="1">
      <c r="A77" s="1253" t="s">
        <v>19</v>
      </c>
      <c r="C77" s="175" t="s">
        <v>115</v>
      </c>
      <c r="D77" s="257">
        <v>60</v>
      </c>
      <c r="E77" s="420"/>
      <c r="F77" s="1221" t="s">
        <v>309</v>
      </c>
      <c r="G77" s="434"/>
      <c r="H77" s="1216" t="s">
        <v>177</v>
      </c>
      <c r="I77" s="439"/>
      <c r="J77" s="439"/>
      <c r="L77" s="175" t="s">
        <v>115</v>
      </c>
      <c r="M77" s="420"/>
      <c r="N77" s="277"/>
      <c r="O77" s="1219"/>
      <c r="Q77" s="175" t="s">
        <v>115</v>
      </c>
      <c r="R77" s="257">
        <v>65</v>
      </c>
      <c r="S77" s="1185" t="s">
        <v>147</v>
      </c>
      <c r="T77" s="420"/>
      <c r="U77" s="420"/>
      <c r="W77" s="1185" t="s">
        <v>109</v>
      </c>
      <c r="Y77" s="448" t="s">
        <v>44</v>
      </c>
    </row>
    <row r="78" spans="1:25" ht="90" customHeight="1">
      <c r="A78" s="1253"/>
      <c r="B78" s="35"/>
      <c r="C78" s="175" t="s">
        <v>116</v>
      </c>
      <c r="D78" s="258" t="e">
        <f>D77/VLOOKUP(A77,#REF!,7,0)</f>
        <v>#REF!</v>
      </c>
      <c r="E78" s="457"/>
      <c r="F78" s="1221"/>
      <c r="G78" s="446"/>
      <c r="H78" s="1217"/>
      <c r="I78" s="440"/>
      <c r="J78" s="440"/>
      <c r="K78" s="35"/>
      <c r="L78" s="175" t="s">
        <v>116</v>
      </c>
      <c r="M78" s="58"/>
      <c r="N78" s="269"/>
      <c r="O78" s="1219"/>
      <c r="P78" s="35"/>
      <c r="Q78" s="175" t="s">
        <v>116</v>
      </c>
      <c r="R78" s="258" t="e">
        <f>R77/VLOOKUP(A77,#REF!,7,0)</f>
        <v>#REF!</v>
      </c>
      <c r="S78" s="1185"/>
      <c r="T78" s="420"/>
      <c r="U78" s="420"/>
      <c r="W78" s="1185"/>
      <c r="Y78" s="448" t="s">
        <v>45</v>
      </c>
    </row>
    <row r="79" spans="1:25" ht="82.5" customHeight="1">
      <c r="A79" s="1254"/>
      <c r="B79" s="35"/>
      <c r="C79" s="175" t="s">
        <v>117</v>
      </c>
      <c r="D79" s="258" t="e">
        <f>(D77/VLOOKUP(A77,#REF!,4,0))*100</f>
        <v>#REF!</v>
      </c>
      <c r="E79" s="457"/>
      <c r="F79" s="1222"/>
      <c r="G79" s="446"/>
      <c r="H79" s="1218"/>
      <c r="I79" s="301"/>
      <c r="J79" s="301"/>
      <c r="K79" s="35"/>
      <c r="L79" s="175" t="s">
        <v>117</v>
      </c>
      <c r="M79" s="58"/>
      <c r="N79" s="269"/>
      <c r="O79" s="1186"/>
      <c r="P79" s="35"/>
      <c r="Q79" s="175" t="s">
        <v>117</v>
      </c>
      <c r="R79" s="258" t="e">
        <f>(R77/VLOOKUP(A77,#REF!,4,0))*100</f>
        <v>#REF!</v>
      </c>
      <c r="S79" s="1186"/>
      <c r="T79" s="420"/>
      <c r="U79" s="420"/>
      <c r="W79" s="1186"/>
      <c r="Y79" s="448"/>
    </row>
    <row r="80" spans="1:25" s="15" customFormat="1" ht="50.15" customHeight="1">
      <c r="A80" s="1253" t="s">
        <v>20</v>
      </c>
      <c r="C80" s="38" t="s">
        <v>115</v>
      </c>
      <c r="D80" s="464">
        <f>1.5+2.4</f>
        <v>3.9</v>
      </c>
      <c r="E80" s="1184">
        <v>0.2</v>
      </c>
      <c r="F80" s="1193" t="s">
        <v>183</v>
      </c>
      <c r="G80" s="436">
        <f>1.5-0.2</f>
        <v>1.3</v>
      </c>
      <c r="H80" s="1184" t="s">
        <v>232</v>
      </c>
      <c r="I80" s="419"/>
      <c r="J80" s="419"/>
      <c r="L80" s="38" t="s">
        <v>115</v>
      </c>
      <c r="M80" s="8"/>
      <c r="N80" s="268">
        <v>1</v>
      </c>
      <c r="O80" s="1184" t="s">
        <v>334</v>
      </c>
      <c r="Q80" s="38" t="s">
        <v>115</v>
      </c>
      <c r="R80" s="253">
        <v>10.6</v>
      </c>
      <c r="S80" s="1184" t="s">
        <v>305</v>
      </c>
      <c r="T80" s="419"/>
      <c r="U80" s="419"/>
      <c r="W80" s="1184" t="s">
        <v>233</v>
      </c>
      <c r="Y80" s="156" t="s">
        <v>46</v>
      </c>
    </row>
    <row r="81" spans="1:25" s="55" customFormat="1" ht="50.15" customHeight="1">
      <c r="A81" s="1253"/>
      <c r="C81" s="175" t="s">
        <v>116</v>
      </c>
      <c r="D81" s="258" t="e">
        <f>D80/VLOOKUP(A80,#REF!,7,0)</f>
        <v>#REF!</v>
      </c>
      <c r="E81" s="1185"/>
      <c r="F81" s="1203"/>
      <c r="G81" s="437"/>
      <c r="H81" s="1185"/>
      <c r="I81" s="420"/>
      <c r="J81" s="420"/>
      <c r="L81" s="175" t="s">
        <v>116</v>
      </c>
      <c r="M81" s="39"/>
      <c r="N81" s="269" t="e">
        <f>N80/VLOOKUP(A80,#REF!,7,0)</f>
        <v>#REF!</v>
      </c>
      <c r="O81" s="1185"/>
      <c r="Q81" s="175" t="s">
        <v>116</v>
      </c>
      <c r="R81" s="251" t="e">
        <f>R80/VLOOKUP(A80,#REF!,7,0)</f>
        <v>#REF!</v>
      </c>
      <c r="S81" s="1219"/>
      <c r="T81" s="441"/>
      <c r="U81" s="441"/>
      <c r="W81" s="1186"/>
      <c r="Y81" s="157"/>
    </row>
    <row r="82" spans="1:25" ht="50.15" customHeight="1">
      <c r="A82" s="1254"/>
      <c r="B82" s="12"/>
      <c r="C82" s="53" t="s">
        <v>117</v>
      </c>
      <c r="D82" s="252" t="e">
        <f>(D80/VLOOKUP(A80,#REF!,4,0))*100</f>
        <v>#REF!</v>
      </c>
      <c r="E82" s="458"/>
      <c r="F82" s="1204"/>
      <c r="G82" s="453"/>
      <c r="H82" s="1186"/>
      <c r="I82" s="421"/>
      <c r="J82" s="421"/>
      <c r="K82" s="12"/>
      <c r="L82" s="53" t="s">
        <v>117</v>
      </c>
      <c r="M82" s="57"/>
      <c r="N82" s="267" t="e">
        <f>(N80/VLOOKUP(A80,#REF!,4,0))*100</f>
        <v>#REF!</v>
      </c>
      <c r="O82" s="1186"/>
      <c r="P82" s="12"/>
      <c r="Q82" s="53" t="s">
        <v>117</v>
      </c>
      <c r="R82" s="252" t="e">
        <f>(R80/VLOOKUP(A80,#REF!,4,0))*100</f>
        <v>#REF!</v>
      </c>
      <c r="S82" s="1186"/>
      <c r="T82" s="421"/>
      <c r="U82" s="421"/>
      <c r="V82" s="52"/>
      <c r="W82" s="442" t="s">
        <v>234</v>
      </c>
      <c r="X82" s="52"/>
      <c r="Y82" s="158"/>
    </row>
    <row r="83" spans="1:25" ht="60" customHeight="1">
      <c r="A83" s="1253" t="s">
        <v>184</v>
      </c>
      <c r="B83" s="14"/>
      <c r="C83" s="38" t="s">
        <v>115</v>
      </c>
      <c r="D83" s="255">
        <v>20</v>
      </c>
      <c r="E83" s="1199"/>
      <c r="F83" s="442"/>
      <c r="G83" s="433"/>
      <c r="H83" s="1229" t="s">
        <v>182</v>
      </c>
      <c r="I83" s="450"/>
      <c r="J83" s="450"/>
      <c r="K83" s="14"/>
      <c r="L83" s="175" t="s">
        <v>115</v>
      </c>
      <c r="M83" s="442"/>
      <c r="N83" s="276"/>
      <c r="O83" s="1184"/>
      <c r="P83" s="14"/>
      <c r="Q83" s="175" t="s">
        <v>115</v>
      </c>
      <c r="R83" s="1369" t="s">
        <v>84</v>
      </c>
      <c r="S83" s="1184" t="s">
        <v>335</v>
      </c>
      <c r="T83" s="419"/>
      <c r="U83" s="419"/>
      <c r="V83" s="14"/>
      <c r="W83" s="1184" t="s">
        <v>110</v>
      </c>
      <c r="X83" s="14"/>
      <c r="Y83" s="1225" t="s">
        <v>47</v>
      </c>
    </row>
    <row r="84" spans="1:25" ht="60" customHeight="1">
      <c r="A84" s="1253"/>
      <c r="B84" s="37"/>
      <c r="C84" s="175" t="s">
        <v>116</v>
      </c>
      <c r="D84" s="251" t="e">
        <f>D83/VLOOKUP(A83,#REF!,7,0)</f>
        <v>#REF!</v>
      </c>
      <c r="E84" s="1200"/>
      <c r="F84" s="443"/>
      <c r="G84" s="434"/>
      <c r="H84" s="1230"/>
      <c r="I84" s="451"/>
      <c r="J84" s="451"/>
      <c r="K84" s="37"/>
      <c r="L84" s="175" t="s">
        <v>116</v>
      </c>
      <c r="M84" s="443"/>
      <c r="N84" s="277"/>
      <c r="O84" s="1219"/>
      <c r="P84" s="37"/>
      <c r="Q84" s="175" t="s">
        <v>116</v>
      </c>
      <c r="R84" s="1370"/>
      <c r="S84" s="1219"/>
      <c r="T84" s="441"/>
      <c r="U84" s="441"/>
      <c r="V84" s="37"/>
      <c r="W84" s="1185"/>
      <c r="X84" s="37"/>
      <c r="Y84" s="1226"/>
    </row>
    <row r="85" spans="1:25" ht="81" customHeight="1">
      <c r="A85" s="1254"/>
      <c r="B85" s="12"/>
      <c r="C85" s="53" t="s">
        <v>117</v>
      </c>
      <c r="D85" s="252" t="e">
        <f>(D83/VLOOKUP(A83,#REF!,4,0))*100</f>
        <v>#REF!</v>
      </c>
      <c r="E85" s="458"/>
      <c r="F85" s="444"/>
      <c r="G85" s="453"/>
      <c r="H85" s="1231"/>
      <c r="I85" s="452"/>
      <c r="J85" s="452"/>
      <c r="K85" s="12"/>
      <c r="L85" s="53" t="s">
        <v>117</v>
      </c>
      <c r="M85" s="57"/>
      <c r="N85" s="267"/>
      <c r="O85" s="1186"/>
      <c r="P85" s="12"/>
      <c r="Q85" s="53" t="s">
        <v>117</v>
      </c>
      <c r="R85" s="1371"/>
      <c r="S85" s="1186"/>
      <c r="T85" s="421"/>
      <c r="U85" s="421"/>
      <c r="V85" s="52"/>
      <c r="W85" s="1186"/>
      <c r="X85" s="52"/>
      <c r="Y85" s="1227"/>
    </row>
    <row r="86" spans="1:25" s="37" customFormat="1" ht="89.5" customHeight="1">
      <c r="A86" s="1253" t="s">
        <v>36</v>
      </c>
      <c r="B86" s="14"/>
      <c r="C86" s="38" t="s">
        <v>115</v>
      </c>
      <c r="D86" s="255">
        <v>76.8</v>
      </c>
      <c r="E86" s="1184"/>
      <c r="F86" s="1184" t="s">
        <v>310</v>
      </c>
      <c r="G86" s="433"/>
      <c r="H86" s="1184" t="s">
        <v>312</v>
      </c>
      <c r="I86" s="419"/>
      <c r="J86" s="419"/>
      <c r="K86" s="14"/>
      <c r="L86" s="175" t="s">
        <v>115</v>
      </c>
      <c r="M86" s="442"/>
      <c r="N86" s="274">
        <v>50</v>
      </c>
      <c r="O86" s="1184" t="s">
        <v>336</v>
      </c>
      <c r="P86" s="14"/>
      <c r="Q86" s="175" t="s">
        <v>115</v>
      </c>
      <c r="R86" s="255">
        <v>50</v>
      </c>
      <c r="S86" s="1184" t="s">
        <v>337</v>
      </c>
      <c r="T86" s="419"/>
      <c r="U86" s="419"/>
      <c r="V86" s="14"/>
      <c r="W86" s="1184" t="s">
        <v>127</v>
      </c>
      <c r="X86" s="14"/>
      <c r="Y86" s="1225" t="s">
        <v>48</v>
      </c>
    </row>
    <row r="87" spans="1:25" s="37" customFormat="1" ht="92.15" customHeight="1">
      <c r="A87" s="1253"/>
      <c r="C87" s="175" t="s">
        <v>116</v>
      </c>
      <c r="D87" s="258" t="e">
        <f>D86/VLOOKUP(A86,#REF!,7,0)</f>
        <v>#REF!</v>
      </c>
      <c r="E87" s="1185"/>
      <c r="F87" s="1185"/>
      <c r="G87" s="434"/>
      <c r="H87" s="1185"/>
      <c r="I87" s="420"/>
      <c r="J87" s="420"/>
      <c r="L87" s="175" t="s">
        <v>116</v>
      </c>
      <c r="M87" s="443"/>
      <c r="N87" s="279" t="e">
        <f>N86/VLOOKUP(A86,#REF!,7,0)</f>
        <v>#REF!</v>
      </c>
      <c r="O87" s="1219"/>
      <c r="Q87" s="175" t="s">
        <v>116</v>
      </c>
      <c r="R87" s="465" t="e">
        <f>R86/VLOOKUP(A86,#REF!,7,0)</f>
        <v>#REF!</v>
      </c>
      <c r="S87" s="1219"/>
      <c r="T87" s="441"/>
      <c r="U87" s="441"/>
      <c r="W87" s="1185"/>
      <c r="Y87" s="1226"/>
    </row>
    <row r="88" spans="1:25" ht="92.15" customHeight="1">
      <c r="A88" s="1254"/>
      <c r="B88" s="12"/>
      <c r="C88" s="53" t="s">
        <v>117</v>
      </c>
      <c r="D88" s="252" t="e">
        <f>((D86/#REF!))*100</f>
        <v>#REF!</v>
      </c>
      <c r="E88" s="458"/>
      <c r="F88" s="1186"/>
      <c r="G88" s="453"/>
      <c r="H88" s="1186"/>
      <c r="I88" s="421"/>
      <c r="J88" s="421"/>
      <c r="K88" s="12"/>
      <c r="L88" s="53" t="s">
        <v>117</v>
      </c>
      <c r="M88" s="57"/>
      <c r="N88" s="273" t="e">
        <f>((N86/#REF!))*100</f>
        <v>#REF!</v>
      </c>
      <c r="O88" s="1186"/>
      <c r="P88" s="12"/>
      <c r="Q88" s="53" t="s">
        <v>117</v>
      </c>
      <c r="R88" s="252" t="e">
        <f>((R86/#REF!))*100</f>
        <v>#REF!</v>
      </c>
      <c r="S88" s="1186"/>
      <c r="T88" s="421"/>
      <c r="U88" s="421"/>
      <c r="V88" s="52"/>
      <c r="W88" s="1186"/>
      <c r="X88" s="52"/>
      <c r="Y88" s="1227"/>
    </row>
    <row r="89" spans="1:25" s="37" customFormat="1" ht="50.15" customHeight="1">
      <c r="A89" s="1253" t="s">
        <v>31</v>
      </c>
      <c r="B89" s="14"/>
      <c r="C89" s="38" t="s">
        <v>115</v>
      </c>
      <c r="D89" s="255">
        <v>34.4</v>
      </c>
      <c r="E89" s="442"/>
      <c r="F89" s="1184" t="s">
        <v>311</v>
      </c>
      <c r="G89" s="433"/>
      <c r="H89" s="1184" t="s">
        <v>313</v>
      </c>
      <c r="I89" s="419"/>
      <c r="J89" s="419"/>
      <c r="K89" s="14"/>
      <c r="L89" s="175" t="s">
        <v>115</v>
      </c>
      <c r="M89" s="442"/>
      <c r="N89" s="274">
        <v>20</v>
      </c>
      <c r="O89" s="1184" t="s">
        <v>338</v>
      </c>
      <c r="P89" s="14"/>
      <c r="Q89" s="175" t="s">
        <v>115</v>
      </c>
      <c r="R89" s="464"/>
      <c r="S89" s="1184"/>
      <c r="T89" s="419"/>
      <c r="U89" s="419"/>
      <c r="V89" s="14"/>
      <c r="W89" s="419"/>
      <c r="X89" s="14"/>
      <c r="Y89" s="419"/>
    </row>
    <row r="90" spans="1:25" s="460" customFormat="1" ht="50.15" customHeight="1">
      <c r="A90" s="1253"/>
      <c r="B90" s="37"/>
      <c r="C90" s="175" t="s">
        <v>116</v>
      </c>
      <c r="D90" s="251" t="e">
        <f>D89/VLOOKUP(A89,#REF!,7,0)</f>
        <v>#REF!</v>
      </c>
      <c r="E90" s="443"/>
      <c r="F90" s="1185"/>
      <c r="G90" s="434"/>
      <c r="H90" s="1219"/>
      <c r="I90" s="441"/>
      <c r="J90" s="441"/>
      <c r="K90" s="37"/>
      <c r="L90" s="175" t="s">
        <v>116</v>
      </c>
      <c r="M90" s="443"/>
      <c r="N90" s="266" t="e">
        <f>N89/VLOOKUP(A89,#REF!,7,0)</f>
        <v>#REF!</v>
      </c>
      <c r="O90" s="1185"/>
      <c r="P90" s="37"/>
      <c r="Q90" s="175" t="s">
        <v>116</v>
      </c>
      <c r="R90" s="465"/>
      <c r="S90" s="1185"/>
      <c r="T90" s="420"/>
      <c r="U90" s="420"/>
      <c r="V90" s="37"/>
      <c r="W90" s="420"/>
      <c r="X90" s="37"/>
      <c r="Y90" s="420"/>
    </row>
    <row r="91" spans="1:25" ht="50.15" customHeight="1">
      <c r="A91" s="1254"/>
      <c r="B91" s="35"/>
      <c r="C91" s="175" t="s">
        <v>117</v>
      </c>
      <c r="D91" s="258" t="e">
        <f>(D89/VLOOKUP(A89,#REF!,4,0))*100</f>
        <v>#REF!</v>
      </c>
      <c r="E91" s="457"/>
      <c r="F91" s="1186"/>
      <c r="G91" s="446"/>
      <c r="H91" s="1186"/>
      <c r="I91" s="420"/>
      <c r="J91" s="420"/>
      <c r="K91" s="35"/>
      <c r="L91" s="175" t="s">
        <v>117</v>
      </c>
      <c r="M91" s="58"/>
      <c r="N91" s="269" t="e">
        <f>(N89/VLOOKUP(A89,#REF!,4,0))*100</f>
        <v>#REF!</v>
      </c>
      <c r="O91" s="1186"/>
      <c r="P91" s="35"/>
      <c r="Q91" s="175" t="s">
        <v>117</v>
      </c>
      <c r="R91" s="258"/>
      <c r="S91" s="1186"/>
      <c r="T91" s="420"/>
      <c r="U91" s="420"/>
      <c r="W91" s="420"/>
      <c r="Y91" s="448"/>
    </row>
    <row r="92" spans="1:25" s="15" customFormat="1" ht="70" customHeight="1">
      <c r="A92" s="1253" t="s">
        <v>21</v>
      </c>
      <c r="C92" s="38" t="s">
        <v>115</v>
      </c>
      <c r="D92" s="255">
        <v>103</v>
      </c>
      <c r="E92" s="1184"/>
      <c r="F92" s="8"/>
      <c r="G92" s="436"/>
      <c r="H92" s="1184" t="s">
        <v>156</v>
      </c>
      <c r="I92" s="419"/>
      <c r="J92" s="419"/>
      <c r="L92" s="38" t="s">
        <v>115</v>
      </c>
      <c r="M92" s="8"/>
      <c r="N92" s="268"/>
      <c r="O92" s="22"/>
      <c r="Q92" s="38" t="s">
        <v>115</v>
      </c>
      <c r="R92" s="253">
        <v>235</v>
      </c>
      <c r="S92" s="1184" t="s">
        <v>306</v>
      </c>
      <c r="T92" s="419"/>
      <c r="U92" s="419"/>
      <c r="W92" s="22"/>
      <c r="Y92" s="419"/>
    </row>
    <row r="93" spans="1:25" s="37" customFormat="1" ht="70" customHeight="1">
      <c r="A93" s="1253"/>
      <c r="B93" s="55"/>
      <c r="C93" s="175" t="s">
        <v>116</v>
      </c>
      <c r="D93" s="251" t="e">
        <f>D92/VLOOKUP(A92,#REF!,7,0)</f>
        <v>#REF!</v>
      </c>
      <c r="E93" s="1185"/>
      <c r="F93" s="39"/>
      <c r="G93" s="437"/>
      <c r="H93" s="1185"/>
      <c r="I93" s="420"/>
      <c r="J93" s="420"/>
      <c r="K93" s="55"/>
      <c r="L93" s="175" t="s">
        <v>116</v>
      </c>
      <c r="M93" s="39"/>
      <c r="N93" s="269"/>
      <c r="O93" s="58"/>
      <c r="P93" s="55"/>
      <c r="Q93" s="175" t="s">
        <v>116</v>
      </c>
      <c r="R93" s="251" t="e">
        <f>R92/VLOOKUP(A92,#REF!,7,0)</f>
        <v>#REF!</v>
      </c>
      <c r="S93" s="1185"/>
      <c r="T93" s="420"/>
      <c r="U93" s="420"/>
      <c r="V93" s="55"/>
      <c r="W93" s="58"/>
      <c r="X93" s="55"/>
      <c r="Y93" s="420"/>
    </row>
    <row r="94" spans="1:25" ht="70" customHeight="1">
      <c r="A94" s="1254"/>
      <c r="B94" s="12"/>
      <c r="C94" s="53" t="s">
        <v>117</v>
      </c>
      <c r="D94" s="252" t="e">
        <f>(D92/VLOOKUP(A92,#REF!,4,0))*100</f>
        <v>#REF!</v>
      </c>
      <c r="E94" s="458"/>
      <c r="F94" s="444"/>
      <c r="G94" s="453"/>
      <c r="H94" s="1186"/>
      <c r="I94" s="421"/>
      <c r="J94" s="421"/>
      <c r="K94" s="12"/>
      <c r="L94" s="53" t="s">
        <v>117</v>
      </c>
      <c r="M94" s="57"/>
      <c r="N94" s="267"/>
      <c r="O94" s="57"/>
      <c r="P94" s="12"/>
      <c r="Q94" s="53" t="s">
        <v>117</v>
      </c>
      <c r="R94" s="252" t="e">
        <f>(R92/VLOOKUP(A92,#REF!,4,0))*100</f>
        <v>#REF!</v>
      </c>
      <c r="S94" s="1186"/>
      <c r="T94" s="421"/>
      <c r="U94" s="421"/>
      <c r="V94" s="52"/>
      <c r="W94" s="421"/>
      <c r="X94" s="52"/>
      <c r="Y94" s="449"/>
    </row>
    <row r="95" spans="1:25">
      <c r="A95" s="150"/>
      <c r="B95" s="35"/>
      <c r="C95" s="45"/>
      <c r="E95" s="152"/>
      <c r="F95" s="37"/>
      <c r="G95" s="153"/>
      <c r="H95" s="460"/>
      <c r="I95" s="460"/>
      <c r="J95" s="460"/>
      <c r="K95" s="35"/>
      <c r="L95" s="45"/>
      <c r="M95" s="35"/>
      <c r="P95" s="35"/>
      <c r="Q95" s="45"/>
      <c r="S95" s="460"/>
      <c r="T95" s="460"/>
      <c r="U95" s="460"/>
      <c r="W95" s="460"/>
      <c r="Y95" s="454"/>
    </row>
    <row r="96" spans="1:25" s="2" customFormat="1" ht="13">
      <c r="A96" s="236" t="s">
        <v>137</v>
      </c>
      <c r="B96" s="237"/>
      <c r="C96" s="236"/>
      <c r="D96" s="238"/>
      <c r="E96" s="239"/>
      <c r="F96" s="237"/>
      <c r="G96" s="240"/>
      <c r="H96" s="241"/>
      <c r="I96" s="241"/>
      <c r="J96" s="241"/>
      <c r="K96" s="237"/>
      <c r="L96" s="241"/>
      <c r="M96" s="237"/>
      <c r="N96" s="280"/>
      <c r="O96" s="241"/>
      <c r="P96" s="237"/>
      <c r="Q96" s="241"/>
      <c r="R96" s="288"/>
      <c r="S96" s="241"/>
      <c r="T96" s="241"/>
      <c r="U96" s="241"/>
      <c r="V96" s="52"/>
      <c r="W96" s="421"/>
      <c r="X96" s="52"/>
      <c r="Y96" s="449"/>
    </row>
    <row r="97" spans="1:25" s="37" customFormat="1" ht="56.15" customHeight="1">
      <c r="A97" s="1253" t="s">
        <v>41</v>
      </c>
      <c r="C97" s="175" t="s">
        <v>115</v>
      </c>
      <c r="D97" s="465">
        <v>12</v>
      </c>
      <c r="E97" s="1220">
        <v>3.5</v>
      </c>
      <c r="F97" s="1220" t="s">
        <v>315</v>
      </c>
      <c r="G97" s="434">
        <f>12-3.5</f>
        <v>8.5</v>
      </c>
      <c r="H97" s="1184" t="s">
        <v>291</v>
      </c>
      <c r="I97" s="420"/>
      <c r="J97" s="420"/>
      <c r="L97" s="175" t="s">
        <v>115</v>
      </c>
      <c r="M97" s="443"/>
      <c r="N97" s="277"/>
      <c r="O97" s="420"/>
      <c r="Q97" s="175" t="s">
        <v>115</v>
      </c>
      <c r="R97" s="257">
        <v>11</v>
      </c>
      <c r="S97" s="1184" t="s">
        <v>339</v>
      </c>
      <c r="T97" s="420"/>
      <c r="U97" s="420"/>
      <c r="W97" s="420"/>
      <c r="Y97" s="420"/>
    </row>
    <row r="98" spans="1:25" ht="40" customHeight="1">
      <c r="A98" s="1253"/>
      <c r="B98" s="37"/>
      <c r="C98" s="175" t="s">
        <v>116</v>
      </c>
      <c r="D98" s="258" t="e">
        <f>D97/VLOOKUP(A97,#REF!,7,0)</f>
        <v>#REF!</v>
      </c>
      <c r="E98" s="1221"/>
      <c r="F98" s="1221"/>
      <c r="G98" s="434"/>
      <c r="H98" s="1185"/>
      <c r="I98" s="420"/>
      <c r="J98" s="420"/>
      <c r="K98" s="37"/>
      <c r="L98" s="175" t="s">
        <v>116</v>
      </c>
      <c r="M98" s="443"/>
      <c r="N98" s="277"/>
      <c r="O98" s="420"/>
      <c r="P98" s="37"/>
      <c r="Q98" s="175" t="s">
        <v>116</v>
      </c>
      <c r="R98" s="258" t="e">
        <f>R97/VLOOKUP(A97,#REF!,7,0)</f>
        <v>#REF!</v>
      </c>
      <c r="S98" s="1185"/>
      <c r="T98" s="420"/>
      <c r="U98" s="420"/>
      <c r="V98" s="37"/>
      <c r="W98" s="420"/>
      <c r="X98" s="37"/>
      <c r="Y98" s="420"/>
    </row>
    <row r="99" spans="1:25" ht="60.65" customHeight="1">
      <c r="A99" s="1254"/>
      <c r="B99" s="12"/>
      <c r="C99" s="53" t="s">
        <v>117</v>
      </c>
      <c r="D99" s="252" t="e">
        <f>(D97/VLOOKUP(A97,#REF!,4,0))*100</f>
        <v>#REF!</v>
      </c>
      <c r="E99" s="458"/>
      <c r="F99" s="1222"/>
      <c r="G99" s="453"/>
      <c r="H99" s="1186"/>
      <c r="I99" s="421"/>
      <c r="J99" s="421"/>
      <c r="K99" s="12"/>
      <c r="L99" s="53" t="s">
        <v>117</v>
      </c>
      <c r="M99" s="57"/>
      <c r="N99" s="267"/>
      <c r="O99" s="57"/>
      <c r="P99" s="12"/>
      <c r="Q99" s="53" t="s">
        <v>117</v>
      </c>
      <c r="R99" s="252" t="e">
        <f>(R97/VLOOKUP(A97,#REF!,4,0))*100</f>
        <v>#REF!</v>
      </c>
      <c r="S99" s="1186"/>
      <c r="T99" s="421"/>
      <c r="U99" s="421"/>
      <c r="V99" s="52"/>
      <c r="W99" s="421"/>
      <c r="X99" s="52"/>
      <c r="Y99" s="449"/>
    </row>
    <row r="100" spans="1:25" ht="40" customHeight="1">
      <c r="A100" s="1253" t="s">
        <v>27</v>
      </c>
      <c r="B100" s="15"/>
      <c r="C100" s="38" t="s">
        <v>115</v>
      </c>
      <c r="D100" s="464">
        <f>1.42+0.47</f>
        <v>1.89</v>
      </c>
      <c r="E100" s="9"/>
      <c r="F100" s="1193" t="s">
        <v>316</v>
      </c>
      <c r="G100" s="436"/>
      <c r="H100" s="1184" t="s">
        <v>240</v>
      </c>
      <c r="I100" s="419"/>
      <c r="J100" s="419"/>
      <c r="K100" s="15"/>
      <c r="L100" s="175" t="s">
        <v>115</v>
      </c>
      <c r="M100" s="8"/>
      <c r="N100" s="268">
        <v>0.7</v>
      </c>
      <c r="O100" s="1202" t="s">
        <v>314</v>
      </c>
      <c r="P100" s="15"/>
      <c r="Q100" s="175" t="s">
        <v>115</v>
      </c>
      <c r="R100" s="286"/>
      <c r="S100" s="22"/>
      <c r="T100" s="22"/>
      <c r="U100" s="22"/>
      <c r="V100" s="15"/>
      <c r="W100" s="1184" t="s">
        <v>78</v>
      </c>
      <c r="X100" s="15"/>
      <c r="Y100" s="419"/>
    </row>
    <row r="101" spans="1:25" s="35" customFormat="1" ht="40" customHeight="1">
      <c r="A101" s="1253"/>
      <c r="B101" s="55"/>
      <c r="C101" s="175" t="s">
        <v>116</v>
      </c>
      <c r="D101" s="258" t="e">
        <f>D100/VLOOKUP(A100,#REF!,7,0)</f>
        <v>#REF!</v>
      </c>
      <c r="E101" s="41"/>
      <c r="F101" s="1203"/>
      <c r="G101" s="437"/>
      <c r="H101" s="1185"/>
      <c r="I101" s="420"/>
      <c r="J101" s="420"/>
      <c r="K101" s="55"/>
      <c r="L101" s="175" t="s">
        <v>116</v>
      </c>
      <c r="M101" s="39"/>
      <c r="N101" s="269" t="e">
        <f>N100/VLOOKUP(A100,#REF!,7,0)</f>
        <v>#REF!</v>
      </c>
      <c r="O101" s="1203"/>
      <c r="P101" s="55"/>
      <c r="Q101" s="175" t="s">
        <v>116</v>
      </c>
      <c r="R101" s="258"/>
      <c r="S101" s="58"/>
      <c r="T101" s="58"/>
      <c r="U101" s="58"/>
      <c r="V101" s="55"/>
      <c r="W101" s="1185"/>
      <c r="X101" s="55"/>
      <c r="Y101" s="420"/>
    </row>
    <row r="102" spans="1:25" ht="40" customHeight="1">
      <c r="A102" s="1254"/>
      <c r="B102" s="12"/>
      <c r="C102" s="53" t="s">
        <v>117</v>
      </c>
      <c r="D102" s="252" t="e">
        <f>(D100/VLOOKUP(A100,#REF!,4,0))*100</f>
        <v>#REF!</v>
      </c>
      <c r="E102" s="458"/>
      <c r="F102" s="1204"/>
      <c r="G102" s="453"/>
      <c r="H102" s="1186"/>
      <c r="I102" s="421"/>
      <c r="J102" s="421"/>
      <c r="K102" s="12"/>
      <c r="L102" s="53" t="s">
        <v>117</v>
      </c>
      <c r="M102" s="57"/>
      <c r="N102" s="267" t="e">
        <f>(N100/VLOOKUP(A100,#REF!,4,0))*100</f>
        <v>#REF!</v>
      </c>
      <c r="O102" s="1204"/>
      <c r="P102" s="12"/>
      <c r="Q102" s="53" t="s">
        <v>117</v>
      </c>
      <c r="R102" s="252"/>
      <c r="S102" s="421"/>
      <c r="T102" s="421"/>
      <c r="U102" s="421"/>
      <c r="V102" s="52"/>
      <c r="W102" s="1186"/>
      <c r="X102" s="52"/>
      <c r="Y102" s="449"/>
    </row>
    <row r="103" spans="1:25" s="35" customFormat="1" ht="55" customHeight="1">
      <c r="A103" s="1253" t="s">
        <v>42</v>
      </c>
      <c r="B103" s="16"/>
      <c r="C103" s="38" t="s">
        <v>115</v>
      </c>
      <c r="D103" s="186">
        <v>3750</v>
      </c>
      <c r="E103" s="22"/>
      <c r="F103" s="1220" t="s">
        <v>292</v>
      </c>
      <c r="G103" s="436"/>
      <c r="H103" s="1184" t="s">
        <v>243</v>
      </c>
      <c r="I103" s="419"/>
      <c r="J103" s="419"/>
      <c r="K103" s="16"/>
      <c r="L103" s="175" t="s">
        <v>115</v>
      </c>
      <c r="M103" s="22"/>
      <c r="N103" s="281">
        <v>1950</v>
      </c>
      <c r="O103" s="1184" t="s">
        <v>301</v>
      </c>
      <c r="P103" s="16"/>
      <c r="Q103" s="175" t="s">
        <v>115</v>
      </c>
      <c r="R103" s="286"/>
      <c r="S103" s="22"/>
      <c r="T103" s="22"/>
      <c r="U103" s="22"/>
      <c r="V103" s="16"/>
      <c r="W103" s="1184" t="s">
        <v>244</v>
      </c>
      <c r="X103" s="16"/>
      <c r="Y103" s="1225" t="s">
        <v>50</v>
      </c>
    </row>
    <row r="104" spans="1:25" s="37" customFormat="1" ht="55" customHeight="1">
      <c r="A104" s="1253"/>
      <c r="B104" s="35"/>
      <c r="C104" s="175" t="s">
        <v>116</v>
      </c>
      <c r="D104" s="258" t="e">
        <f>D103/VLOOKUP(A103,#REF!,7,0)</f>
        <v>#REF!</v>
      </c>
      <c r="E104" s="58"/>
      <c r="F104" s="1221"/>
      <c r="G104" s="437"/>
      <c r="H104" s="1185"/>
      <c r="I104" s="420"/>
      <c r="J104" s="420"/>
      <c r="K104" s="35"/>
      <c r="L104" s="175" t="s">
        <v>116</v>
      </c>
      <c r="M104" s="58"/>
      <c r="N104" s="269" t="e">
        <f>N103/VLOOKUP(A103,#REF!,7,0)</f>
        <v>#REF!</v>
      </c>
      <c r="O104" s="1185"/>
      <c r="P104" s="35"/>
      <c r="Q104" s="175" t="s">
        <v>116</v>
      </c>
      <c r="R104" s="258"/>
      <c r="S104" s="58"/>
      <c r="T104" s="58"/>
      <c r="U104" s="58"/>
      <c r="V104" s="35"/>
      <c r="W104" s="1185"/>
      <c r="X104" s="35"/>
      <c r="Y104" s="1226"/>
    </row>
    <row r="105" spans="1:25" ht="55" customHeight="1">
      <c r="A105" s="1254"/>
      <c r="B105" s="12"/>
      <c r="C105" s="53" t="s">
        <v>117</v>
      </c>
      <c r="D105" s="252" t="e">
        <f>(D103/VLOOKUP(A103,#REF!,4,0))*100</f>
        <v>#REF!</v>
      </c>
      <c r="E105" s="458"/>
      <c r="F105" s="1222"/>
      <c r="G105" s="453"/>
      <c r="H105" s="1186"/>
      <c r="I105" s="421"/>
      <c r="J105" s="421"/>
      <c r="K105" s="12"/>
      <c r="L105" s="53" t="s">
        <v>117</v>
      </c>
      <c r="M105" s="57"/>
      <c r="N105" s="267" t="e">
        <f>(N103/VLOOKUP(A103,#REF!,4,0))*100</f>
        <v>#REF!</v>
      </c>
      <c r="O105" s="1186"/>
      <c r="P105" s="12"/>
      <c r="Q105" s="53" t="s">
        <v>117</v>
      </c>
      <c r="R105" s="252"/>
      <c r="S105" s="421"/>
      <c r="T105" s="421"/>
      <c r="U105" s="421"/>
      <c r="V105" s="52"/>
      <c r="W105" s="1186"/>
      <c r="X105" s="52"/>
      <c r="Y105" s="1227"/>
    </row>
    <row r="106" spans="1:25" s="35" customFormat="1" ht="50.15" customHeight="1">
      <c r="A106" s="1253" t="s">
        <v>34</v>
      </c>
      <c r="B106" s="16"/>
      <c r="C106" s="38" t="s">
        <v>115</v>
      </c>
      <c r="D106" s="186" t="s">
        <v>84</v>
      </c>
      <c r="E106" s="22"/>
      <c r="F106" s="1220" t="s">
        <v>317</v>
      </c>
      <c r="G106" s="436"/>
      <c r="H106" s="1184" t="s">
        <v>319</v>
      </c>
      <c r="I106" s="419"/>
      <c r="J106" s="419"/>
      <c r="K106" s="16"/>
      <c r="L106" s="175" t="s">
        <v>115</v>
      </c>
      <c r="M106" s="22"/>
      <c r="N106" s="270">
        <v>320</v>
      </c>
      <c r="O106" s="1228" t="s">
        <v>318</v>
      </c>
      <c r="P106" s="16"/>
      <c r="Q106" s="175" t="s">
        <v>115</v>
      </c>
      <c r="R106" s="286"/>
      <c r="S106" s="22"/>
      <c r="T106" s="22"/>
      <c r="U106" s="22"/>
      <c r="V106" s="16"/>
      <c r="W106" s="22"/>
      <c r="X106" s="16"/>
      <c r="Y106" s="419"/>
    </row>
    <row r="107" spans="1:25" s="35" customFormat="1" ht="50.15" customHeight="1">
      <c r="A107" s="1253"/>
      <c r="C107" s="175" t="s">
        <v>116</v>
      </c>
      <c r="D107" s="258"/>
      <c r="E107" s="58"/>
      <c r="F107" s="1221"/>
      <c r="G107" s="437"/>
      <c r="H107" s="1185"/>
      <c r="I107" s="420"/>
      <c r="J107" s="420"/>
      <c r="L107" s="175" t="s">
        <v>116</v>
      </c>
      <c r="M107" s="58"/>
      <c r="N107" s="269" t="e">
        <f>N106/#REF!</f>
        <v>#REF!</v>
      </c>
      <c r="O107" s="1185"/>
      <c r="Q107" s="175" t="s">
        <v>116</v>
      </c>
      <c r="R107" s="258"/>
      <c r="S107" s="58"/>
      <c r="T107" s="58"/>
      <c r="U107" s="58"/>
      <c r="W107" s="58"/>
      <c r="Y107" s="420"/>
    </row>
    <row r="108" spans="1:25" ht="50.15" customHeight="1">
      <c r="A108" s="1254"/>
      <c r="B108" s="12"/>
      <c r="C108" s="53" t="s">
        <v>117</v>
      </c>
      <c r="D108" s="252"/>
      <c r="E108" s="458"/>
      <c r="F108" s="1222"/>
      <c r="G108" s="453"/>
      <c r="H108" s="1186"/>
      <c r="I108" s="421"/>
      <c r="J108" s="421"/>
      <c r="K108" s="12"/>
      <c r="L108" s="53" t="s">
        <v>117</v>
      </c>
      <c r="M108" s="57"/>
      <c r="N108" s="267" t="e">
        <f>N106/#REF!*100</f>
        <v>#REF!</v>
      </c>
      <c r="O108" s="1186"/>
      <c r="P108" s="12"/>
      <c r="Q108" s="53" t="s">
        <v>117</v>
      </c>
      <c r="R108" s="252"/>
      <c r="S108" s="421"/>
      <c r="T108" s="421"/>
      <c r="U108" s="421"/>
      <c r="V108" s="52"/>
      <c r="W108" s="421"/>
      <c r="X108" s="52"/>
      <c r="Y108" s="449"/>
    </row>
    <row r="109" spans="1:25" s="37" customFormat="1" ht="95.15" customHeight="1">
      <c r="A109" s="1253" t="s">
        <v>23</v>
      </c>
      <c r="B109" s="14"/>
      <c r="C109" s="38" t="s">
        <v>115</v>
      </c>
      <c r="D109" s="255">
        <v>100</v>
      </c>
      <c r="E109" s="1184" t="s">
        <v>246</v>
      </c>
      <c r="F109" s="1193" t="s">
        <v>320</v>
      </c>
      <c r="G109" s="433">
        <f>100-3.8</f>
        <v>96.2</v>
      </c>
      <c r="H109" s="1184" t="s">
        <v>321</v>
      </c>
      <c r="I109" s="419"/>
      <c r="J109" s="419"/>
      <c r="K109" s="14"/>
      <c r="L109" s="175" t="s">
        <v>115</v>
      </c>
      <c r="M109" s="442"/>
      <c r="N109" s="274"/>
      <c r="O109" s="1202" t="s">
        <v>322</v>
      </c>
      <c r="P109" s="14"/>
      <c r="Q109" s="175" t="s">
        <v>115</v>
      </c>
      <c r="R109" s="464"/>
      <c r="S109" s="1184"/>
      <c r="T109" s="419"/>
      <c r="U109" s="419"/>
      <c r="V109" s="14"/>
      <c r="W109" s="419"/>
      <c r="X109" s="14"/>
      <c r="Y109" s="419"/>
    </row>
    <row r="110" spans="1:25" s="37" customFormat="1" ht="95.15" customHeight="1">
      <c r="A110" s="1253"/>
      <c r="C110" s="175" t="s">
        <v>116</v>
      </c>
      <c r="D110" s="258" t="e">
        <f>D109/VLOOKUP(A109,#REF!,7,0)</f>
        <v>#REF!</v>
      </c>
      <c r="E110" s="1185"/>
      <c r="F110" s="1203"/>
      <c r="G110" s="434"/>
      <c r="H110" s="1185"/>
      <c r="I110" s="420"/>
      <c r="J110" s="420"/>
      <c r="L110" s="175" t="s">
        <v>116</v>
      </c>
      <c r="M110" s="443"/>
      <c r="N110" s="277"/>
      <c r="O110" s="1203"/>
      <c r="Q110" s="175" t="s">
        <v>116</v>
      </c>
      <c r="R110" s="465"/>
      <c r="S110" s="1185"/>
      <c r="T110" s="420"/>
      <c r="U110" s="420"/>
      <c r="W110" s="420"/>
      <c r="Y110" s="420"/>
    </row>
    <row r="111" spans="1:25" ht="95.15" customHeight="1">
      <c r="A111" s="1254"/>
      <c r="B111" s="12"/>
      <c r="C111" s="53" t="s">
        <v>117</v>
      </c>
      <c r="D111" s="252" t="e">
        <f>(D109/VLOOKUP(A109,#REF!,4,0))*100</f>
        <v>#REF!</v>
      </c>
      <c r="E111" s="458"/>
      <c r="F111" s="1204"/>
      <c r="G111" s="453"/>
      <c r="H111" s="1186"/>
      <c r="I111" s="421"/>
      <c r="J111" s="421"/>
      <c r="K111" s="12"/>
      <c r="L111" s="53" t="s">
        <v>117</v>
      </c>
      <c r="M111" s="57"/>
      <c r="N111" s="267"/>
      <c r="O111" s="1204"/>
      <c r="P111" s="12"/>
      <c r="Q111" s="53" t="s">
        <v>117</v>
      </c>
      <c r="R111" s="252"/>
      <c r="S111" s="1186"/>
      <c r="T111" s="421"/>
      <c r="U111" s="421"/>
      <c r="V111" s="52"/>
      <c r="W111" s="421"/>
      <c r="X111" s="52"/>
      <c r="Y111" s="449"/>
    </row>
    <row r="112" spans="1:25" s="460" customFormat="1" ht="55" customHeight="1">
      <c r="A112" s="1253" t="s">
        <v>35</v>
      </c>
      <c r="B112" s="459"/>
      <c r="C112" s="38" t="s">
        <v>115</v>
      </c>
      <c r="D112" s="186">
        <v>1400</v>
      </c>
      <c r="E112" s="419"/>
      <c r="F112" s="1184" t="s">
        <v>323</v>
      </c>
      <c r="G112" s="433"/>
      <c r="H112" s="1184" t="s">
        <v>293</v>
      </c>
      <c r="I112" s="419"/>
      <c r="J112" s="419"/>
      <c r="K112" s="459"/>
      <c r="L112" s="38" t="s">
        <v>115</v>
      </c>
      <c r="M112" s="419"/>
      <c r="N112" s="274">
        <v>1900</v>
      </c>
      <c r="O112" s="1184" t="s">
        <v>340</v>
      </c>
      <c r="P112" s="459"/>
      <c r="Q112" s="38" t="s">
        <v>115</v>
      </c>
      <c r="R112" s="464"/>
      <c r="S112" s="1199"/>
      <c r="T112" s="433"/>
      <c r="U112" s="433"/>
      <c r="V112" s="459"/>
      <c r="W112" s="419"/>
      <c r="X112" s="459"/>
      <c r="Y112" s="419"/>
    </row>
    <row r="113" spans="1:25" s="460" customFormat="1" ht="55" customHeight="1">
      <c r="A113" s="1253"/>
      <c r="C113" s="175" t="s">
        <v>116</v>
      </c>
      <c r="D113" s="258" t="e">
        <f>D112/VLOOKUP(A112,#REF!,7,0)</f>
        <v>#REF!</v>
      </c>
      <c r="E113" s="420"/>
      <c r="F113" s="1185"/>
      <c r="G113" s="434"/>
      <c r="H113" s="1185"/>
      <c r="I113" s="420"/>
      <c r="J113" s="420"/>
      <c r="L113" s="175" t="s">
        <v>116</v>
      </c>
      <c r="M113" s="420"/>
      <c r="N113" s="269" t="e">
        <f>N112/VLOOKUP(A112,#REF!,7,0)</f>
        <v>#REF!</v>
      </c>
      <c r="O113" s="1185"/>
      <c r="Q113" s="175" t="s">
        <v>116</v>
      </c>
      <c r="R113" s="465"/>
      <c r="S113" s="1200"/>
      <c r="T113" s="434"/>
      <c r="U113" s="434"/>
      <c r="W113" s="420"/>
      <c r="Y113" s="420"/>
    </row>
    <row r="114" spans="1:25" ht="55" customHeight="1">
      <c r="A114" s="1254"/>
      <c r="B114" s="12"/>
      <c r="C114" s="53" t="s">
        <v>117</v>
      </c>
      <c r="D114" s="252" t="e">
        <f>(D112/VLOOKUP(A112,#REF!,4,0))*100</f>
        <v>#REF!</v>
      </c>
      <c r="E114" s="458"/>
      <c r="F114" s="1186"/>
      <c r="G114" s="453"/>
      <c r="H114" s="1186"/>
      <c r="I114" s="421"/>
      <c r="J114" s="421"/>
      <c r="K114" s="12"/>
      <c r="L114" s="53" t="s">
        <v>95</v>
      </c>
      <c r="M114" s="57"/>
      <c r="N114" s="267" t="e">
        <f>(N112/VLOOKUP(A112,#REF!,4,0))*100</f>
        <v>#REF!</v>
      </c>
      <c r="O114" s="1186"/>
      <c r="P114" s="12"/>
      <c r="Q114" s="53" t="s">
        <v>95</v>
      </c>
      <c r="R114" s="252"/>
      <c r="S114" s="1201"/>
      <c r="T114" s="435"/>
      <c r="U114" s="435"/>
      <c r="V114" s="52"/>
      <c r="W114" s="421"/>
      <c r="X114" s="52"/>
      <c r="Y114" s="449"/>
    </row>
    <row r="115" spans="1:25" ht="46.5" customHeight="1">
      <c r="A115" s="1253" t="s">
        <v>92</v>
      </c>
      <c r="B115" s="459"/>
      <c r="C115" s="38" t="s">
        <v>115</v>
      </c>
      <c r="D115" s="464">
        <v>1.1000000000000001</v>
      </c>
      <c r="E115" s="419">
        <v>0.20799999999999999</v>
      </c>
      <c r="F115" s="1184" t="s">
        <v>324</v>
      </c>
      <c r="G115" s="433">
        <f>4-2.9</f>
        <v>1.1000000000000001</v>
      </c>
      <c r="H115" s="1184" t="s">
        <v>124</v>
      </c>
      <c r="I115" s="419"/>
      <c r="J115" s="419"/>
      <c r="K115" s="459"/>
      <c r="L115" s="175" t="s">
        <v>115</v>
      </c>
      <c r="M115" s="419"/>
      <c r="N115" s="276">
        <v>2.9</v>
      </c>
      <c r="O115" s="1184" t="s">
        <v>302</v>
      </c>
      <c r="P115" s="459"/>
      <c r="Q115" s="175" t="s">
        <v>115</v>
      </c>
      <c r="R115" s="464"/>
      <c r="S115" s="1184"/>
      <c r="T115" s="419"/>
      <c r="U115" s="419"/>
      <c r="V115" s="459"/>
      <c r="W115" s="419"/>
      <c r="X115" s="459"/>
      <c r="Y115" s="419"/>
    </row>
    <row r="116" spans="1:25" ht="42.65" customHeight="1">
      <c r="A116" s="1253"/>
      <c r="B116" s="460"/>
      <c r="C116" s="175" t="s">
        <v>116</v>
      </c>
      <c r="D116" s="258" t="e">
        <f>D115/VLOOKUP(A115,#REF!,7,0)</f>
        <v>#REF!</v>
      </c>
      <c r="E116" s="420"/>
      <c r="F116" s="1185"/>
      <c r="G116" s="434"/>
      <c r="H116" s="1185"/>
      <c r="I116" s="420"/>
      <c r="J116" s="420"/>
      <c r="K116" s="460"/>
      <c r="L116" s="175" t="s">
        <v>116</v>
      </c>
      <c r="M116" s="420"/>
      <c r="N116" s="269" t="e">
        <f>N115/VLOOKUP(A115,#REF!,7,0)</f>
        <v>#REF!</v>
      </c>
      <c r="O116" s="1185"/>
      <c r="P116" s="460"/>
      <c r="Q116" s="175" t="s">
        <v>116</v>
      </c>
      <c r="R116" s="465"/>
      <c r="S116" s="1185"/>
      <c r="T116" s="420"/>
      <c r="U116" s="420"/>
      <c r="V116" s="460"/>
      <c r="W116" s="420"/>
      <c r="X116" s="460"/>
      <c r="Y116" s="420"/>
    </row>
    <row r="117" spans="1:25" ht="38">
      <c r="A117" s="1254"/>
      <c r="B117" s="12"/>
      <c r="C117" s="53" t="s">
        <v>117</v>
      </c>
      <c r="D117" s="252" t="e">
        <f>(D115/VLOOKUP(A115,#REF!,4,0))*100</f>
        <v>#REF!</v>
      </c>
      <c r="E117" s="458"/>
      <c r="F117" s="1186"/>
      <c r="G117" s="453"/>
      <c r="H117" s="1186"/>
      <c r="I117" s="421"/>
      <c r="J117" s="421"/>
      <c r="K117" s="12"/>
      <c r="L117" s="53" t="s">
        <v>117</v>
      </c>
      <c r="M117" s="57"/>
      <c r="N117" s="267" t="e">
        <f>(N115/VLOOKUP(A115,#REF!,4,0))*100</f>
        <v>#REF!</v>
      </c>
      <c r="O117" s="1186"/>
      <c r="P117" s="12"/>
      <c r="Q117" s="53" t="s">
        <v>117</v>
      </c>
      <c r="R117" s="252"/>
      <c r="S117" s="1186"/>
      <c r="T117" s="421"/>
      <c r="U117" s="421"/>
      <c r="V117" s="52"/>
      <c r="W117" s="421"/>
      <c r="X117" s="52"/>
      <c r="Y117" s="449"/>
    </row>
    <row r="118" spans="1:25" s="460" customFormat="1" ht="62.5" customHeight="1">
      <c r="A118" s="1253" t="s">
        <v>22</v>
      </c>
      <c r="B118" s="459"/>
      <c r="C118" s="38" t="s">
        <v>115</v>
      </c>
      <c r="D118" s="255">
        <v>68</v>
      </c>
      <c r="E118" s="1184" t="s">
        <v>253</v>
      </c>
      <c r="F118" s="1184" t="s">
        <v>325</v>
      </c>
      <c r="G118" s="433" t="s">
        <v>254</v>
      </c>
      <c r="H118" s="1184" t="s">
        <v>255</v>
      </c>
      <c r="I118" s="419"/>
      <c r="J118" s="419"/>
      <c r="K118" s="459"/>
      <c r="L118" s="175" t="s">
        <v>115</v>
      </c>
      <c r="M118" s="419"/>
      <c r="N118" s="276"/>
      <c r="O118" s="1184"/>
      <c r="P118" s="459"/>
      <c r="Q118" s="175" t="s">
        <v>115</v>
      </c>
      <c r="R118" s="117">
        <v>68</v>
      </c>
      <c r="S118" s="1184" t="s">
        <v>341</v>
      </c>
      <c r="T118" s="419"/>
      <c r="U118" s="419"/>
      <c r="V118" s="459"/>
      <c r="W118" s="199" t="s">
        <v>189</v>
      </c>
      <c r="X118" s="459"/>
      <c r="Y118" s="198" t="s">
        <v>188</v>
      </c>
    </row>
    <row r="119" spans="1:25" s="460" customFormat="1" ht="50.15" customHeight="1">
      <c r="A119" s="1253"/>
      <c r="C119" s="175" t="s">
        <v>116</v>
      </c>
      <c r="D119" s="251" t="e">
        <f>D118/VLOOKUP(A118,#REF!,7,0)</f>
        <v>#REF!</v>
      </c>
      <c r="E119" s="1185"/>
      <c r="F119" s="1185"/>
      <c r="G119" s="434"/>
      <c r="H119" s="1185"/>
      <c r="I119" s="420"/>
      <c r="J119" s="420"/>
      <c r="L119" s="175" t="s">
        <v>116</v>
      </c>
      <c r="M119" s="420"/>
      <c r="N119" s="277"/>
      <c r="O119" s="1185"/>
      <c r="Q119" s="175" t="s">
        <v>116</v>
      </c>
      <c r="R119" s="285" t="e">
        <f>R118/VLOOKUP(A118,#REF!,7,0)</f>
        <v>#REF!</v>
      </c>
      <c r="S119" s="1185"/>
      <c r="T119" s="420"/>
      <c r="U119" s="420"/>
      <c r="W119" s="420"/>
      <c r="Y119" s="420"/>
    </row>
    <row r="120" spans="1:25" ht="38">
      <c r="A120" s="1254"/>
      <c r="B120" s="12"/>
      <c r="C120" s="53" t="s">
        <v>117</v>
      </c>
      <c r="D120" s="252" t="e">
        <f>(D118/VLOOKUP(A118,#REF!,4,0))*100</f>
        <v>#REF!</v>
      </c>
      <c r="E120" s="458"/>
      <c r="F120" s="1186"/>
      <c r="G120" s="453"/>
      <c r="H120" s="1186"/>
      <c r="I120" s="421"/>
      <c r="J120" s="421"/>
      <c r="K120" s="12"/>
      <c r="L120" s="53" t="s">
        <v>117</v>
      </c>
      <c r="M120" s="57"/>
      <c r="N120" s="267"/>
      <c r="O120" s="1186"/>
      <c r="P120" s="12"/>
      <c r="Q120" s="53" t="s">
        <v>117</v>
      </c>
      <c r="R120" s="78" t="e">
        <f>(R118/VLOOKUP(A118,#REF!,4,0))*100</f>
        <v>#REF!</v>
      </c>
      <c r="S120" s="1186"/>
      <c r="T120" s="421"/>
      <c r="U120" s="421"/>
      <c r="V120" s="52"/>
      <c r="W120" s="421"/>
      <c r="X120" s="52"/>
      <c r="Y120" s="449"/>
    </row>
    <row r="121" spans="1:25" s="460" customFormat="1" ht="58" customHeight="1">
      <c r="A121" s="1253" t="s">
        <v>30</v>
      </c>
      <c r="B121" s="459"/>
      <c r="C121" s="38" t="s">
        <v>115</v>
      </c>
      <c r="D121" s="464">
        <v>2.0499999999999998</v>
      </c>
      <c r="E121" s="1184" t="s">
        <v>80</v>
      </c>
      <c r="F121" s="1184" t="s">
        <v>326</v>
      </c>
      <c r="G121" s="433">
        <f>2.05-0.33</f>
        <v>1.7199999999999998</v>
      </c>
      <c r="H121" s="1184" t="s">
        <v>131</v>
      </c>
      <c r="I121" s="419"/>
      <c r="J121" s="419"/>
      <c r="K121" s="459"/>
      <c r="L121" s="175" t="s">
        <v>115</v>
      </c>
      <c r="M121" s="419"/>
      <c r="N121" s="276">
        <f>0.3+0.04+0.5+0.1+0.132</f>
        <v>1.0720000000000001</v>
      </c>
      <c r="O121" s="1184" t="s">
        <v>307</v>
      </c>
      <c r="P121" s="459"/>
      <c r="Q121" s="175" t="s">
        <v>115</v>
      </c>
      <c r="R121" s="464">
        <v>0.5</v>
      </c>
      <c r="S121" s="1184" t="s">
        <v>342</v>
      </c>
      <c r="T121" s="419"/>
      <c r="U121" s="419"/>
      <c r="V121" s="459"/>
      <c r="W121" s="1184" t="s">
        <v>83</v>
      </c>
      <c r="X121" s="459"/>
      <c r="Y121" s="419"/>
    </row>
    <row r="122" spans="1:25" s="460" customFormat="1" ht="40" customHeight="1">
      <c r="A122" s="1253"/>
      <c r="C122" s="175" t="s">
        <v>116</v>
      </c>
      <c r="D122" s="258" t="e">
        <f>D121/VLOOKUP(A121,#REF!,7,0)</f>
        <v>#REF!</v>
      </c>
      <c r="E122" s="1185"/>
      <c r="F122" s="1185"/>
      <c r="G122" s="434"/>
      <c r="H122" s="1185"/>
      <c r="I122" s="420"/>
      <c r="J122" s="420"/>
      <c r="L122" s="175" t="s">
        <v>116</v>
      </c>
      <c r="M122" s="420"/>
      <c r="N122" s="269" t="e">
        <f>N121/VLOOKUP(A121,#REF!,7,0)</f>
        <v>#REF!</v>
      </c>
      <c r="O122" s="1185"/>
      <c r="Q122" s="175" t="s">
        <v>116</v>
      </c>
      <c r="R122" s="258" t="e">
        <f>R121/VLOOKUP(A121,#REF!,7,0)</f>
        <v>#REF!</v>
      </c>
      <c r="S122" s="1185"/>
      <c r="T122" s="420"/>
      <c r="U122" s="420"/>
      <c r="W122" s="1185"/>
      <c r="Y122" s="420"/>
    </row>
    <row r="123" spans="1:25" ht="93.65" customHeight="1">
      <c r="A123" s="1254"/>
      <c r="B123" s="12"/>
      <c r="C123" s="53" t="s">
        <v>117</v>
      </c>
      <c r="D123" s="252" t="e">
        <f>(D121/VLOOKUP(A121,#REF!,4,0))*100</f>
        <v>#REF!</v>
      </c>
      <c r="E123" s="458"/>
      <c r="F123" s="1186"/>
      <c r="G123" s="453"/>
      <c r="H123" s="1186"/>
      <c r="I123" s="421"/>
      <c r="J123" s="421"/>
      <c r="K123" s="12"/>
      <c r="L123" s="53" t="s">
        <v>117</v>
      </c>
      <c r="M123" s="57"/>
      <c r="N123" s="267" t="e">
        <f>(N121/VLOOKUP(A121,#REF!,4,0))*100</f>
        <v>#REF!</v>
      </c>
      <c r="O123" s="1186"/>
      <c r="P123" s="12"/>
      <c r="Q123" s="53" t="s">
        <v>117</v>
      </c>
      <c r="R123" s="252" t="e">
        <f>(R121/VLOOKUP(A121,#REF!,4,0))*100</f>
        <v>#REF!</v>
      </c>
      <c r="S123" s="1186"/>
      <c r="T123" s="421"/>
      <c r="U123" s="421"/>
      <c r="V123" s="52"/>
      <c r="W123" s="1186"/>
      <c r="X123" s="52"/>
      <c r="Y123" s="449"/>
    </row>
    <row r="124" spans="1:25" s="460" customFormat="1" ht="57" customHeight="1">
      <c r="A124" s="1253" t="s">
        <v>56</v>
      </c>
      <c r="B124" s="459"/>
      <c r="C124" s="38" t="s">
        <v>115</v>
      </c>
      <c r="D124" s="255">
        <v>26.5</v>
      </c>
      <c r="E124" s="1184"/>
      <c r="F124" s="1184" t="s">
        <v>327</v>
      </c>
      <c r="G124" s="433"/>
      <c r="H124" s="1184" t="s">
        <v>294</v>
      </c>
      <c r="I124" s="419"/>
      <c r="J124" s="419"/>
      <c r="K124" s="459"/>
      <c r="L124" s="175" t="s">
        <v>115</v>
      </c>
      <c r="M124" s="419"/>
      <c r="N124" s="276"/>
      <c r="O124" s="1184" t="s">
        <v>308</v>
      </c>
      <c r="P124" s="459"/>
      <c r="Q124" s="175" t="s">
        <v>115</v>
      </c>
      <c r="R124" s="464"/>
      <c r="S124" s="1184" t="s">
        <v>343</v>
      </c>
      <c r="T124" s="419"/>
      <c r="U124" s="419"/>
      <c r="V124" s="459"/>
      <c r="W124" s="419"/>
      <c r="X124" s="459"/>
      <c r="Y124" s="447" t="s">
        <v>51</v>
      </c>
    </row>
    <row r="125" spans="1:25" s="460" customFormat="1" ht="36.65" customHeight="1">
      <c r="A125" s="1253"/>
      <c r="C125" s="175" t="s">
        <v>116</v>
      </c>
      <c r="D125" s="258" t="e">
        <f>D124/VLOOKUP(A124,#REF!,7,0)</f>
        <v>#REF!</v>
      </c>
      <c r="E125" s="1185"/>
      <c r="F125" s="1185"/>
      <c r="G125" s="434"/>
      <c r="H125" s="1185"/>
      <c r="I125" s="420"/>
      <c r="J125" s="420"/>
      <c r="L125" s="175" t="s">
        <v>116</v>
      </c>
      <c r="M125" s="420"/>
      <c r="N125" s="277"/>
      <c r="O125" s="1185"/>
      <c r="Q125" s="175" t="s">
        <v>116</v>
      </c>
      <c r="R125" s="465"/>
      <c r="S125" s="1185"/>
      <c r="T125" s="420"/>
      <c r="U125" s="420"/>
      <c r="W125" s="420"/>
      <c r="Y125" s="448" t="s">
        <v>52</v>
      </c>
    </row>
    <row r="126" spans="1:25" ht="75.650000000000006" customHeight="1">
      <c r="A126" s="1254"/>
      <c r="B126" s="12"/>
      <c r="C126" s="53" t="s">
        <v>117</v>
      </c>
      <c r="D126" s="252" t="e">
        <f>(D124/VLOOKUP(A124,#REF!,4,0))*100</f>
        <v>#REF!</v>
      </c>
      <c r="E126" s="458"/>
      <c r="F126" s="1186"/>
      <c r="G126" s="453"/>
      <c r="H126" s="1186"/>
      <c r="I126" s="421"/>
      <c r="J126" s="421"/>
      <c r="K126" s="12"/>
      <c r="L126" s="53" t="s">
        <v>117</v>
      </c>
      <c r="M126" s="57"/>
      <c r="N126" s="267"/>
      <c r="O126" s="1186"/>
      <c r="P126" s="12"/>
      <c r="Q126" s="53" t="s">
        <v>117</v>
      </c>
      <c r="R126" s="252"/>
      <c r="S126" s="1186"/>
      <c r="T126" s="421"/>
      <c r="U126" s="421"/>
      <c r="V126" s="52"/>
      <c r="W126" s="421"/>
      <c r="X126" s="52"/>
      <c r="Y126" s="449"/>
    </row>
    <row r="127" spans="1:25">
      <c r="A127" s="150"/>
      <c r="B127" s="35"/>
      <c r="C127" s="45"/>
      <c r="E127" s="152"/>
      <c r="F127" s="37"/>
      <c r="G127" s="153"/>
      <c r="H127" s="460"/>
      <c r="I127" s="460"/>
      <c r="J127" s="460"/>
      <c r="K127" s="35"/>
      <c r="L127" s="45"/>
      <c r="M127" s="35"/>
      <c r="O127" s="460"/>
      <c r="P127" s="35"/>
      <c r="Q127" s="45"/>
      <c r="S127" s="460"/>
      <c r="T127" s="460"/>
      <c r="U127" s="460"/>
      <c r="W127" s="460"/>
      <c r="Y127" s="454"/>
    </row>
    <row r="128" spans="1:25" ht="13">
      <c r="A128" s="108" t="s">
        <v>128</v>
      </c>
      <c r="B128" s="109"/>
      <c r="C128" s="108"/>
      <c r="D128" s="110"/>
      <c r="E128" s="111"/>
      <c r="F128" s="109"/>
      <c r="G128" s="112"/>
      <c r="H128" s="113"/>
      <c r="I128" s="113"/>
      <c r="J128" s="113"/>
      <c r="K128" s="109"/>
      <c r="L128" s="241"/>
      <c r="M128" s="109"/>
      <c r="N128" s="264"/>
      <c r="O128" s="113"/>
      <c r="P128" s="109"/>
      <c r="Q128" s="241"/>
      <c r="R128" s="284"/>
      <c r="S128" s="113"/>
      <c r="T128" s="113"/>
      <c r="U128" s="113"/>
      <c r="W128" s="420"/>
      <c r="Y128" s="448"/>
    </row>
    <row r="129" spans="1:25" s="460" customFormat="1" ht="50.15" customHeight="1">
      <c r="A129" s="1253" t="s">
        <v>37</v>
      </c>
      <c r="B129" s="459"/>
      <c r="C129" s="38" t="s">
        <v>115</v>
      </c>
      <c r="D129" s="255">
        <v>53.95</v>
      </c>
      <c r="E129" s="419" t="s">
        <v>86</v>
      </c>
      <c r="F129" s="1184" t="s">
        <v>328</v>
      </c>
      <c r="G129" s="433" t="s">
        <v>87</v>
      </c>
      <c r="H129" s="1184" t="s">
        <v>98</v>
      </c>
      <c r="I129" s="419"/>
      <c r="J129" s="419"/>
      <c r="K129" s="459"/>
      <c r="L129" s="175" t="s">
        <v>115</v>
      </c>
      <c r="M129" s="419"/>
      <c r="N129" s="274">
        <v>50</v>
      </c>
      <c r="O129" s="1184" t="s">
        <v>344</v>
      </c>
      <c r="P129" s="459"/>
      <c r="Q129" s="175" t="s">
        <v>115</v>
      </c>
      <c r="R129" s="464"/>
      <c r="S129" s="419"/>
      <c r="T129" s="419"/>
      <c r="U129" s="419"/>
      <c r="V129" s="459"/>
      <c r="W129" s="419"/>
      <c r="X129" s="459"/>
      <c r="Y129" s="419"/>
    </row>
    <row r="130" spans="1:25" s="37" customFormat="1" ht="50.15" customHeight="1">
      <c r="A130" s="1253"/>
      <c r="B130" s="460"/>
      <c r="C130" s="175" t="s">
        <v>116</v>
      </c>
      <c r="D130" s="258" t="e">
        <f>D129/VLOOKUP(A129,#REF!,7,0)</f>
        <v>#REF!</v>
      </c>
      <c r="E130" s="420"/>
      <c r="F130" s="1185"/>
      <c r="G130" s="434"/>
      <c r="H130" s="1185"/>
      <c r="I130" s="420"/>
      <c r="J130" s="420"/>
      <c r="K130" s="460"/>
      <c r="L130" s="175" t="s">
        <v>116</v>
      </c>
      <c r="M130" s="420"/>
      <c r="N130" s="269" t="e">
        <f>N129/VLOOKUP(A129,#REF!,7,0)</f>
        <v>#REF!</v>
      </c>
      <c r="O130" s="1185"/>
      <c r="P130" s="460"/>
      <c r="Q130" s="175" t="s">
        <v>116</v>
      </c>
      <c r="R130" s="465"/>
      <c r="S130" s="420"/>
      <c r="T130" s="420"/>
      <c r="U130" s="420"/>
      <c r="V130" s="460"/>
      <c r="W130" s="420"/>
      <c r="X130" s="460"/>
      <c r="Y130" s="420"/>
    </row>
    <row r="131" spans="1:25" ht="50.15" customHeight="1">
      <c r="A131" s="1254"/>
      <c r="B131" s="35"/>
      <c r="C131" s="175" t="s">
        <v>117</v>
      </c>
      <c r="D131" s="258" t="e">
        <f>(D129/VLOOKUP(A129,#REF!,4,0))*100</f>
        <v>#REF!</v>
      </c>
      <c r="E131" s="457"/>
      <c r="F131" s="1186"/>
      <c r="G131" s="446"/>
      <c r="H131" s="1186"/>
      <c r="I131" s="420"/>
      <c r="J131" s="420"/>
      <c r="K131" s="35"/>
      <c r="L131" s="175" t="s">
        <v>117</v>
      </c>
      <c r="M131" s="58"/>
      <c r="N131" s="269" t="e">
        <f>(N129/VLOOKUP(A129,#REF!,4,0))*100</f>
        <v>#REF!</v>
      </c>
      <c r="O131" s="1186"/>
      <c r="P131" s="35"/>
      <c r="Q131" s="175" t="s">
        <v>117</v>
      </c>
      <c r="R131" s="258"/>
      <c r="S131" s="420"/>
      <c r="T131" s="420"/>
      <c r="U131" s="420"/>
      <c r="W131" s="420"/>
      <c r="Y131" s="448"/>
    </row>
    <row r="132" spans="1:25" s="459" customFormat="1" ht="40" customHeight="1">
      <c r="A132" s="1253" t="s">
        <v>38</v>
      </c>
      <c r="B132" s="244"/>
      <c r="C132" s="38" t="s">
        <v>115</v>
      </c>
      <c r="D132" s="255">
        <v>5.8</v>
      </c>
      <c r="E132" s="442" t="s">
        <v>53</v>
      </c>
      <c r="F132" s="1220" t="s">
        <v>329</v>
      </c>
      <c r="G132" s="433"/>
      <c r="H132" s="1184" t="s">
        <v>271</v>
      </c>
      <c r="I132" s="419"/>
      <c r="J132" s="419"/>
      <c r="K132" s="244"/>
      <c r="L132" s="38" t="s">
        <v>115</v>
      </c>
      <c r="M132" s="442"/>
      <c r="N132" s="276"/>
      <c r="O132" s="419"/>
      <c r="P132" s="244"/>
      <c r="Q132" s="38" t="s">
        <v>115</v>
      </c>
      <c r="R132" s="464"/>
      <c r="S132" s="419"/>
      <c r="T132" s="419"/>
      <c r="U132" s="419"/>
      <c r="V132" s="14"/>
      <c r="W132" s="419"/>
      <c r="X132" s="14"/>
      <c r="Y132" s="419"/>
    </row>
    <row r="133" spans="1:25" ht="40" customHeight="1">
      <c r="A133" s="1253"/>
      <c r="B133" s="35"/>
      <c r="C133" s="175" t="s">
        <v>116</v>
      </c>
      <c r="D133" s="258" t="e">
        <f>D132/#REF!</f>
        <v>#REF!</v>
      </c>
      <c r="E133" s="34"/>
      <c r="F133" s="1221"/>
      <c r="G133" s="446"/>
      <c r="H133" s="1185"/>
      <c r="I133" s="420"/>
      <c r="J133" s="420"/>
      <c r="K133" s="35"/>
      <c r="L133" s="175" t="s">
        <v>116</v>
      </c>
      <c r="M133" s="58"/>
      <c r="N133" s="269"/>
      <c r="O133" s="420"/>
      <c r="P133" s="35"/>
      <c r="Q133" s="175" t="s">
        <v>116</v>
      </c>
      <c r="R133" s="258"/>
      <c r="S133" s="420"/>
      <c r="T133" s="420"/>
      <c r="U133" s="420"/>
      <c r="W133" s="420"/>
      <c r="Y133" s="448"/>
    </row>
    <row r="134" spans="1:25" ht="40" customHeight="1">
      <c r="A134" s="1254"/>
      <c r="B134" s="12"/>
      <c r="C134" s="53" t="s">
        <v>117</v>
      </c>
      <c r="D134" s="252" t="e">
        <f>D132/#REF!*100</f>
        <v>#REF!</v>
      </c>
      <c r="E134" s="11"/>
      <c r="F134" s="1222"/>
      <c r="G134" s="453"/>
      <c r="H134" s="1186"/>
      <c r="I134" s="421"/>
      <c r="J134" s="421"/>
      <c r="K134" s="12"/>
      <c r="L134" s="53" t="s">
        <v>117</v>
      </c>
      <c r="M134" s="57"/>
      <c r="N134" s="267"/>
      <c r="O134" s="421"/>
      <c r="P134" s="12"/>
      <c r="Q134" s="53" t="s">
        <v>117</v>
      </c>
      <c r="R134" s="252"/>
      <c r="S134" s="421"/>
      <c r="T134" s="421"/>
      <c r="U134" s="421"/>
      <c r="V134" s="52"/>
      <c r="W134" s="421"/>
      <c r="X134" s="52"/>
      <c r="Y134" s="449"/>
    </row>
    <row r="135" spans="1:25" s="460" customFormat="1" ht="50.15" customHeight="1">
      <c r="A135" s="1253" t="s">
        <v>29</v>
      </c>
      <c r="B135" s="459"/>
      <c r="C135" s="38" t="s">
        <v>115</v>
      </c>
      <c r="D135" s="1369" t="s">
        <v>84</v>
      </c>
      <c r="E135" s="419" t="s">
        <v>88</v>
      </c>
      <c r="F135" s="1184" t="s">
        <v>330</v>
      </c>
      <c r="G135" s="433"/>
      <c r="H135" s="1184" t="s">
        <v>297</v>
      </c>
      <c r="I135" s="419"/>
      <c r="J135" s="419"/>
      <c r="K135" s="459"/>
      <c r="L135" s="175" t="s">
        <v>115</v>
      </c>
      <c r="M135" s="419"/>
      <c r="N135" s="276"/>
      <c r="O135" s="419"/>
      <c r="P135" s="459"/>
      <c r="Q135" s="175" t="s">
        <v>115</v>
      </c>
      <c r="R135" s="464"/>
      <c r="S135" s="419"/>
      <c r="T135" s="419"/>
      <c r="U135" s="419"/>
      <c r="V135" s="459"/>
      <c r="W135" s="419"/>
      <c r="X135" s="459"/>
      <c r="Y135" s="419"/>
    </row>
    <row r="136" spans="1:25" s="37" customFormat="1" ht="50.15" customHeight="1">
      <c r="A136" s="1253"/>
      <c r="B136" s="460"/>
      <c r="C136" s="175" t="s">
        <v>116</v>
      </c>
      <c r="D136" s="1370"/>
      <c r="E136" s="420"/>
      <c r="F136" s="1185"/>
      <c r="G136" s="434"/>
      <c r="H136" s="1185"/>
      <c r="I136" s="420"/>
      <c r="J136" s="420"/>
      <c r="K136" s="460"/>
      <c r="L136" s="175" t="s">
        <v>116</v>
      </c>
      <c r="M136" s="420"/>
      <c r="N136" s="277"/>
      <c r="O136" s="420"/>
      <c r="P136" s="460"/>
      <c r="Q136" s="175" t="s">
        <v>116</v>
      </c>
      <c r="R136" s="465"/>
      <c r="S136" s="420"/>
      <c r="T136" s="420"/>
      <c r="U136" s="420"/>
      <c r="V136" s="460"/>
      <c r="W136" s="420"/>
      <c r="X136" s="460"/>
      <c r="Y136" s="420"/>
    </row>
    <row r="137" spans="1:25" ht="50.15" customHeight="1">
      <c r="A137" s="1254"/>
      <c r="B137" s="12"/>
      <c r="C137" s="53" t="s">
        <v>117</v>
      </c>
      <c r="D137" s="252"/>
      <c r="E137" s="458"/>
      <c r="F137" s="1186"/>
      <c r="G137" s="453"/>
      <c r="H137" s="1186"/>
      <c r="I137" s="421"/>
      <c r="J137" s="421"/>
      <c r="K137" s="12"/>
      <c r="L137" s="53" t="s">
        <v>117</v>
      </c>
      <c r="M137" s="57"/>
      <c r="N137" s="267"/>
      <c r="O137" s="57"/>
      <c r="P137" s="12"/>
      <c r="Q137" s="53" t="s">
        <v>117</v>
      </c>
      <c r="R137" s="252"/>
      <c r="S137" s="421"/>
      <c r="T137" s="421"/>
      <c r="U137" s="421"/>
      <c r="V137" s="52"/>
      <c r="W137" s="421"/>
      <c r="X137" s="52"/>
      <c r="Y137" s="449"/>
    </row>
    <row r="138" spans="1:25" ht="65.150000000000006" customHeight="1">
      <c r="A138" s="1253" t="s">
        <v>93</v>
      </c>
      <c r="B138" s="14"/>
      <c r="C138" s="38" t="s">
        <v>115</v>
      </c>
      <c r="D138" s="255">
        <v>761</v>
      </c>
      <c r="E138" s="1220">
        <v>70</v>
      </c>
      <c r="F138" s="1184" t="s">
        <v>331</v>
      </c>
      <c r="G138" s="433"/>
      <c r="H138" s="1184" t="s">
        <v>261</v>
      </c>
      <c r="I138" s="419"/>
      <c r="J138" s="419"/>
      <c r="K138" s="14"/>
      <c r="L138" s="175" t="s">
        <v>115</v>
      </c>
      <c r="M138" s="442"/>
      <c r="N138" s="282"/>
      <c r="O138" s="1190"/>
      <c r="P138" s="14"/>
      <c r="Q138" s="175" t="s">
        <v>115</v>
      </c>
      <c r="R138" s="464"/>
      <c r="S138" s="1184"/>
      <c r="T138" s="419"/>
      <c r="U138" s="419"/>
      <c r="V138" s="14"/>
      <c r="W138" s="419"/>
      <c r="X138" s="14"/>
      <c r="Y138" s="419"/>
    </row>
    <row r="139" spans="1:25" ht="65.150000000000006" customHeight="1">
      <c r="A139" s="1253"/>
      <c r="B139" s="37"/>
      <c r="C139" s="175" t="s">
        <v>116</v>
      </c>
      <c r="D139" s="258" t="e">
        <f>D138/#REF!</f>
        <v>#REF!</v>
      </c>
      <c r="E139" s="1221"/>
      <c r="F139" s="1185"/>
      <c r="G139" s="434"/>
      <c r="H139" s="1185"/>
      <c r="I139" s="420"/>
      <c r="J139" s="420"/>
      <c r="K139" s="37"/>
      <c r="L139" s="175" t="s">
        <v>116</v>
      </c>
      <c r="M139" s="443"/>
      <c r="N139" s="269"/>
      <c r="O139" s="1191"/>
      <c r="P139" s="37"/>
      <c r="Q139" s="175" t="s">
        <v>116</v>
      </c>
      <c r="R139" s="465"/>
      <c r="S139" s="1185"/>
      <c r="T139" s="420"/>
      <c r="U139" s="420"/>
      <c r="V139" s="37"/>
      <c r="W139" s="420"/>
      <c r="X139" s="37"/>
      <c r="Y139" s="420"/>
    </row>
    <row r="140" spans="1:25" ht="65.150000000000006" customHeight="1">
      <c r="A140" s="1254"/>
      <c r="B140" s="12"/>
      <c r="C140" s="53" t="s">
        <v>117</v>
      </c>
      <c r="D140" s="252" t="e">
        <f>D138/#REF!*100</f>
        <v>#REF!</v>
      </c>
      <c r="E140" s="458"/>
      <c r="F140" s="1186"/>
      <c r="G140" s="453"/>
      <c r="H140" s="1186"/>
      <c r="I140" s="421"/>
      <c r="J140" s="421"/>
      <c r="K140" s="12"/>
      <c r="L140" s="53" t="s">
        <v>117</v>
      </c>
      <c r="M140" s="57"/>
      <c r="N140" s="267"/>
      <c r="O140" s="1192"/>
      <c r="P140" s="12"/>
      <c r="Q140" s="53" t="s">
        <v>117</v>
      </c>
      <c r="R140" s="252"/>
      <c r="S140" s="1186"/>
      <c r="T140" s="421"/>
      <c r="U140" s="421"/>
      <c r="V140" s="52"/>
      <c r="W140" s="421"/>
      <c r="X140" s="52"/>
      <c r="Y140" s="449"/>
    </row>
    <row r="141" spans="1:25" ht="90" customHeight="1">
      <c r="A141" s="1253" t="s">
        <v>33</v>
      </c>
      <c r="B141" s="14"/>
      <c r="C141" s="38" t="s">
        <v>115</v>
      </c>
      <c r="D141" s="186">
        <f>36000+61700</f>
        <v>97700</v>
      </c>
      <c r="E141" s="442" t="s">
        <v>89</v>
      </c>
      <c r="F141" s="1220" t="s">
        <v>332</v>
      </c>
      <c r="G141" s="433">
        <f>80000-1800</f>
        <v>78200</v>
      </c>
      <c r="H141" s="1184" t="s">
        <v>299</v>
      </c>
      <c r="I141" s="419"/>
      <c r="J141" s="419"/>
      <c r="K141" s="14"/>
      <c r="L141" s="175" t="s">
        <v>115</v>
      </c>
      <c r="M141" s="442"/>
      <c r="N141" s="276"/>
      <c r="O141" s="419"/>
      <c r="P141" s="14"/>
      <c r="Q141" s="175" t="s">
        <v>115</v>
      </c>
      <c r="R141" s="464"/>
      <c r="S141" s="419"/>
      <c r="T141" s="419"/>
      <c r="U141" s="419"/>
      <c r="V141" s="14"/>
      <c r="W141" s="1184" t="s">
        <v>295</v>
      </c>
      <c r="X141" s="14"/>
      <c r="Y141" s="419"/>
    </row>
    <row r="142" spans="1:25" ht="90" customHeight="1">
      <c r="A142" s="1253"/>
      <c r="B142" s="35"/>
      <c r="C142" s="175" t="s">
        <v>116</v>
      </c>
      <c r="D142" s="258" t="e">
        <f>D141/VLOOKUP(A141,#REF!,7,0)</f>
        <v>#REF!</v>
      </c>
      <c r="E142" s="34"/>
      <c r="F142" s="1221"/>
      <c r="G142" s="446"/>
      <c r="H142" s="1185"/>
      <c r="I142" s="420"/>
      <c r="J142" s="420"/>
      <c r="K142" s="35"/>
      <c r="L142" s="175" t="s">
        <v>116</v>
      </c>
      <c r="M142" s="58"/>
      <c r="N142" s="269"/>
      <c r="O142" s="420"/>
      <c r="P142" s="35"/>
      <c r="Q142" s="175" t="s">
        <v>116</v>
      </c>
      <c r="R142" s="258"/>
      <c r="S142" s="420"/>
      <c r="T142" s="420"/>
      <c r="U142" s="420"/>
      <c r="W142" s="1185"/>
      <c r="Y142" s="448"/>
    </row>
    <row r="143" spans="1:25" ht="90" customHeight="1">
      <c r="A143" s="1254"/>
      <c r="B143" s="12"/>
      <c r="C143" s="53" t="s">
        <v>117</v>
      </c>
      <c r="D143" s="252" t="e">
        <f>(D141/VLOOKUP(A141,#REF!,4,0))*100</f>
        <v>#REF!</v>
      </c>
      <c r="E143" s="11"/>
      <c r="F143" s="1222"/>
      <c r="G143" s="453"/>
      <c r="H143" s="1186"/>
      <c r="I143" s="421"/>
      <c r="J143" s="421"/>
      <c r="K143" s="12"/>
      <c r="L143" s="53" t="s">
        <v>117</v>
      </c>
      <c r="M143" s="57"/>
      <c r="N143" s="267"/>
      <c r="O143" s="421"/>
      <c r="P143" s="12"/>
      <c r="Q143" s="53" t="s">
        <v>117</v>
      </c>
      <c r="R143" s="252"/>
      <c r="S143" s="421"/>
      <c r="T143" s="421"/>
      <c r="U143" s="421"/>
      <c r="V143" s="52"/>
      <c r="W143" s="1186"/>
      <c r="X143" s="52"/>
      <c r="Y143" s="449"/>
    </row>
    <row r="144" spans="1:25">
      <c r="A144" s="35" t="s">
        <v>108</v>
      </c>
      <c r="B144" s="35"/>
      <c r="D144" s="260"/>
      <c r="E144" s="125"/>
      <c r="F144" s="35"/>
      <c r="G144" s="35"/>
      <c r="K144" s="35"/>
      <c r="M144" s="35"/>
      <c r="N144" s="283"/>
      <c r="P144" s="35"/>
      <c r="R144" s="260"/>
    </row>
    <row r="145" spans="1:21">
      <c r="A145" s="1245" t="s">
        <v>300</v>
      </c>
      <c r="B145" s="1245"/>
      <c r="C145" s="1245"/>
      <c r="D145" s="1245"/>
      <c r="E145" s="1245"/>
      <c r="F145" s="1245"/>
      <c r="G145" s="1245"/>
      <c r="H145" s="1245"/>
      <c r="I145" s="1245"/>
      <c r="J145" s="1245"/>
      <c r="K145" s="1245"/>
      <c r="L145" s="1245"/>
      <c r="M145" s="1245"/>
      <c r="N145" s="1245"/>
      <c r="O145" s="1245"/>
      <c r="P145" s="1245"/>
      <c r="Q145" s="1245"/>
      <c r="R145" s="1245"/>
      <c r="S145" s="1245"/>
      <c r="T145" s="460"/>
      <c r="U145" s="460"/>
    </row>
    <row r="146" spans="1:21">
      <c r="A146" s="35" t="s">
        <v>202</v>
      </c>
    </row>
    <row r="147" spans="1:21">
      <c r="A147" s="33" t="s">
        <v>201</v>
      </c>
    </row>
    <row r="148" spans="1:21">
      <c r="A148" s="33" t="s">
        <v>278</v>
      </c>
    </row>
    <row r="149" spans="1:21">
      <c r="A149" s="33" t="s">
        <v>283</v>
      </c>
    </row>
    <row r="150" spans="1:21">
      <c r="A150" s="33" t="s">
        <v>279</v>
      </c>
    </row>
  </sheetData>
  <mergeCells count="257">
    <mergeCell ref="A4:S4"/>
    <mergeCell ref="C7:J7"/>
    <mergeCell ref="L7:O7"/>
    <mergeCell ref="Q7:U7"/>
    <mergeCell ref="A10:A12"/>
    <mergeCell ref="F10:F12"/>
    <mergeCell ref="H10:H12"/>
    <mergeCell ref="J10:J12"/>
    <mergeCell ref="O10:O12"/>
    <mergeCell ref="S10:S12"/>
    <mergeCell ref="Z13:Z15"/>
    <mergeCell ref="A16:A18"/>
    <mergeCell ref="F16:F18"/>
    <mergeCell ref="H16:H18"/>
    <mergeCell ref="O16:O18"/>
    <mergeCell ref="S16:S18"/>
    <mergeCell ref="W16:W18"/>
    <mergeCell ref="W10:W12"/>
    <mergeCell ref="Y10:Y12"/>
    <mergeCell ref="A13:A15"/>
    <mergeCell ref="F13:F15"/>
    <mergeCell ref="H13:H15"/>
    <mergeCell ref="J13:J15"/>
    <mergeCell ref="O13:O15"/>
    <mergeCell ref="S13:S15"/>
    <mergeCell ref="A19:A21"/>
    <mergeCell ref="F19:F21"/>
    <mergeCell ref="H19:H21"/>
    <mergeCell ref="J19:J21"/>
    <mergeCell ref="S19:S21"/>
    <mergeCell ref="A22:A24"/>
    <mergeCell ref="F22:F24"/>
    <mergeCell ref="H22:H24"/>
    <mergeCell ref="J22:J24"/>
    <mergeCell ref="O22:O24"/>
    <mergeCell ref="S22:S24"/>
    <mergeCell ref="W22:W24"/>
    <mergeCell ref="Y22:Y24"/>
    <mergeCell ref="A25:A27"/>
    <mergeCell ref="F25:F27"/>
    <mergeCell ref="H25:H27"/>
    <mergeCell ref="J25:J27"/>
    <mergeCell ref="O25:O27"/>
    <mergeCell ref="S25:S27"/>
    <mergeCell ref="W25:W27"/>
    <mergeCell ref="Y31:Y33"/>
    <mergeCell ref="A34:A36"/>
    <mergeCell ref="F34:F36"/>
    <mergeCell ref="H34:H36"/>
    <mergeCell ref="J34:J36"/>
    <mergeCell ref="O34:O36"/>
    <mergeCell ref="S34:S36"/>
    <mergeCell ref="Y34:Y36"/>
    <mergeCell ref="W28:W30"/>
    <mergeCell ref="A31:A33"/>
    <mergeCell ref="F31:F33"/>
    <mergeCell ref="H31:H33"/>
    <mergeCell ref="J31:J33"/>
    <mergeCell ref="O31:O33"/>
    <mergeCell ref="S31:S33"/>
    <mergeCell ref="W31:W33"/>
    <mergeCell ref="A28:A30"/>
    <mergeCell ref="F28:F30"/>
    <mergeCell ref="H28:H30"/>
    <mergeCell ref="J28:J30"/>
    <mergeCell ref="O28:O30"/>
    <mergeCell ref="S28:S30"/>
    <mergeCell ref="A45:A47"/>
    <mergeCell ref="F45:F47"/>
    <mergeCell ref="H45:H47"/>
    <mergeCell ref="J45:J47"/>
    <mergeCell ref="O45:O47"/>
    <mergeCell ref="S45:S47"/>
    <mergeCell ref="W37:W39"/>
    <mergeCell ref="Y37:Y39"/>
    <mergeCell ref="A40:A42"/>
    <mergeCell ref="F40:F42"/>
    <mergeCell ref="H40:H42"/>
    <mergeCell ref="J40:J42"/>
    <mergeCell ref="O40:O42"/>
    <mergeCell ref="S40:S42"/>
    <mergeCell ref="W40:W42"/>
    <mergeCell ref="A37:A39"/>
    <mergeCell ref="F37:F39"/>
    <mergeCell ref="H37:H39"/>
    <mergeCell ref="J37:J39"/>
    <mergeCell ref="O37:O39"/>
    <mergeCell ref="S37:S39"/>
    <mergeCell ref="W48:W50"/>
    <mergeCell ref="A51:A53"/>
    <mergeCell ref="F51:F53"/>
    <mergeCell ref="H51:H53"/>
    <mergeCell ref="J51:J53"/>
    <mergeCell ref="W51:W53"/>
    <mergeCell ref="A48:A50"/>
    <mergeCell ref="F48:F50"/>
    <mergeCell ref="H48:H50"/>
    <mergeCell ref="J48:J50"/>
    <mergeCell ref="O48:O50"/>
    <mergeCell ref="S48:S50"/>
    <mergeCell ref="A54:A56"/>
    <mergeCell ref="F54:F56"/>
    <mergeCell ref="H54:H56"/>
    <mergeCell ref="J54:J56"/>
    <mergeCell ref="Y54:Y56"/>
    <mergeCell ref="A57:A59"/>
    <mergeCell ref="F57:F59"/>
    <mergeCell ref="H57:H59"/>
    <mergeCell ref="S57:S59"/>
    <mergeCell ref="Y66:Y67"/>
    <mergeCell ref="Y60:Y62"/>
    <mergeCell ref="A63:A65"/>
    <mergeCell ref="F63:F65"/>
    <mergeCell ref="H63:H65"/>
    <mergeCell ref="J63:J65"/>
    <mergeCell ref="O63:O65"/>
    <mergeCell ref="S63:S65"/>
    <mergeCell ref="A60:A62"/>
    <mergeCell ref="F60:F62"/>
    <mergeCell ref="H60:H62"/>
    <mergeCell ref="J60:J62"/>
    <mergeCell ref="O60:O62"/>
    <mergeCell ref="W60:W62"/>
    <mergeCell ref="A69:A71"/>
    <mergeCell ref="F69:F71"/>
    <mergeCell ref="H69:H71"/>
    <mergeCell ref="J69:J71"/>
    <mergeCell ref="O69:O71"/>
    <mergeCell ref="S69:S71"/>
    <mergeCell ref="A66:A68"/>
    <mergeCell ref="F66:F68"/>
    <mergeCell ref="H66:H68"/>
    <mergeCell ref="J66:J68"/>
    <mergeCell ref="O66:O68"/>
    <mergeCell ref="W77:W79"/>
    <mergeCell ref="A80:A82"/>
    <mergeCell ref="E80:E81"/>
    <mergeCell ref="F80:F82"/>
    <mergeCell ref="H80:H82"/>
    <mergeCell ref="O80:O82"/>
    <mergeCell ref="S80:S82"/>
    <mergeCell ref="W80:W81"/>
    <mergeCell ref="O72:O74"/>
    <mergeCell ref="S72:S74"/>
    <mergeCell ref="A77:A79"/>
    <mergeCell ref="F77:F79"/>
    <mergeCell ref="H77:H79"/>
    <mergeCell ref="O77:O79"/>
    <mergeCell ref="S77:S79"/>
    <mergeCell ref="A72:A74"/>
    <mergeCell ref="E72:E73"/>
    <mergeCell ref="F72:F74"/>
    <mergeCell ref="G72:G73"/>
    <mergeCell ref="H72:H74"/>
    <mergeCell ref="J72:J74"/>
    <mergeCell ref="W83:W85"/>
    <mergeCell ref="Y83:Y85"/>
    <mergeCell ref="A86:A88"/>
    <mergeCell ref="E86:E87"/>
    <mergeCell ref="F86:F88"/>
    <mergeCell ref="H86:H88"/>
    <mergeCell ref="O86:O88"/>
    <mergeCell ref="S86:S88"/>
    <mergeCell ref="W86:W88"/>
    <mergeCell ref="Y86:Y88"/>
    <mergeCell ref="A83:A85"/>
    <mergeCell ref="E83:E84"/>
    <mergeCell ref="H83:H85"/>
    <mergeCell ref="O83:O85"/>
    <mergeCell ref="R83:R85"/>
    <mergeCell ref="S83:S85"/>
    <mergeCell ref="A89:A91"/>
    <mergeCell ref="F89:F91"/>
    <mergeCell ref="H89:H91"/>
    <mergeCell ref="O89:O91"/>
    <mergeCell ref="S89:S91"/>
    <mergeCell ref="A92:A94"/>
    <mergeCell ref="E92:E93"/>
    <mergeCell ref="H92:H94"/>
    <mergeCell ref="S92:S94"/>
    <mergeCell ref="W100:W102"/>
    <mergeCell ref="A103:A105"/>
    <mergeCell ref="F103:F105"/>
    <mergeCell ref="H103:H105"/>
    <mergeCell ref="O103:O105"/>
    <mergeCell ref="W103:W105"/>
    <mergeCell ref="A97:A99"/>
    <mergeCell ref="E97:E98"/>
    <mergeCell ref="F97:F99"/>
    <mergeCell ref="H97:H99"/>
    <mergeCell ref="S97:S99"/>
    <mergeCell ref="A100:A102"/>
    <mergeCell ref="F100:F102"/>
    <mergeCell ref="H100:H102"/>
    <mergeCell ref="O100:O102"/>
    <mergeCell ref="S109:S111"/>
    <mergeCell ref="A112:A114"/>
    <mergeCell ref="F112:F114"/>
    <mergeCell ref="H112:H114"/>
    <mergeCell ref="O112:O114"/>
    <mergeCell ref="S112:S114"/>
    <mergeCell ref="Y103:Y105"/>
    <mergeCell ref="A106:A108"/>
    <mergeCell ref="F106:F108"/>
    <mergeCell ref="H106:H108"/>
    <mergeCell ref="O106:O108"/>
    <mergeCell ref="A109:A111"/>
    <mergeCell ref="E109:E110"/>
    <mergeCell ref="F109:F111"/>
    <mergeCell ref="H109:H111"/>
    <mergeCell ref="O109:O111"/>
    <mergeCell ref="S118:S120"/>
    <mergeCell ref="A121:A123"/>
    <mergeCell ref="E121:E122"/>
    <mergeCell ref="F121:F123"/>
    <mergeCell ref="H121:H123"/>
    <mergeCell ref="O121:O123"/>
    <mergeCell ref="S121:S123"/>
    <mergeCell ref="A115:A117"/>
    <mergeCell ref="F115:F117"/>
    <mergeCell ref="H115:H117"/>
    <mergeCell ref="O115:O117"/>
    <mergeCell ref="S115:S117"/>
    <mergeCell ref="A118:A120"/>
    <mergeCell ref="E118:E119"/>
    <mergeCell ref="F118:F120"/>
    <mergeCell ref="H118:H120"/>
    <mergeCell ref="O118:O120"/>
    <mergeCell ref="A129:A131"/>
    <mergeCell ref="F129:F131"/>
    <mergeCell ref="H129:H131"/>
    <mergeCell ref="O129:O131"/>
    <mergeCell ref="A132:A134"/>
    <mergeCell ref="F132:F134"/>
    <mergeCell ref="H132:H134"/>
    <mergeCell ref="W121:W123"/>
    <mergeCell ref="A124:A126"/>
    <mergeCell ref="E124:E125"/>
    <mergeCell ref="F124:F126"/>
    <mergeCell ref="H124:H126"/>
    <mergeCell ref="O124:O126"/>
    <mergeCell ref="S124:S126"/>
    <mergeCell ref="A145:S145"/>
    <mergeCell ref="O138:O140"/>
    <mergeCell ref="S138:S140"/>
    <mergeCell ref="A141:A143"/>
    <mergeCell ref="F141:F143"/>
    <mergeCell ref="H141:H143"/>
    <mergeCell ref="W141:W143"/>
    <mergeCell ref="A135:A137"/>
    <mergeCell ref="D135:D136"/>
    <mergeCell ref="F135:F137"/>
    <mergeCell ref="H135:H137"/>
    <mergeCell ref="A138:A140"/>
    <mergeCell ref="E138:E139"/>
    <mergeCell ref="F138:F140"/>
    <mergeCell ref="H138:H140"/>
  </mergeCells>
  <hyperlinks>
    <hyperlink ref="Y54" r:id="rId1" xr:uid="{E51D45EF-0C7E-4B05-888D-6937F4FCC27A}"/>
    <hyperlink ref="Y60" r:id="rId2" xr:uid="{B7FE4506-CF1D-476E-AB73-271739A335B7}"/>
    <hyperlink ref="Y66" r:id="rId3" xr:uid="{30EAAD96-2640-46C1-815E-85C64E51089B}"/>
    <hyperlink ref="Y13" r:id="rId4" xr:uid="{13D176AF-1D96-45CF-9FB7-B9EB1F635E2D}"/>
    <hyperlink ref="Y19" r:id="rId5" xr:uid="{8359D4B8-CEC8-4094-9D10-C5858D2A58F6}"/>
    <hyperlink ref="Y25" r:id="rId6" xr:uid="{AF435075-1090-4256-81D6-07E12D530D13}"/>
    <hyperlink ref="Y22" r:id="rId7" xr:uid="{9B6A5CC6-16A0-4C14-9848-1BFFF6EE2BB3}"/>
    <hyperlink ref="Y31" r:id="rId8" xr:uid="{2FA022EC-63E0-403F-99DF-4686483FF847}"/>
    <hyperlink ref="Y37" r:id="rId9" xr:uid="{DFF2B966-D439-4B58-973C-D298A9DE3884}"/>
    <hyperlink ref="Y77" r:id="rId10" xr:uid="{99C5BC7B-5714-4C22-88CC-734F854409F8}"/>
    <hyperlink ref="Y80" r:id="rId11" xr:uid="{DB24B70D-700F-4399-BABD-6D5AC82270D6}"/>
    <hyperlink ref="Y83" r:id="rId12" xr:uid="{9F496E4B-9199-4694-858E-596FF8470949}"/>
    <hyperlink ref="Y86" r:id="rId13" xr:uid="{4B8CDEF1-4A53-4833-BCD5-C0244612EE2C}"/>
    <hyperlink ref="Y34" r:id="rId14" xr:uid="{93A364A9-6710-4594-9ACF-8C8B60794D0D}"/>
    <hyperlink ref="Y103" r:id="rId15" xr:uid="{3ED182E6-84A7-4096-AA42-4FD5B246AD1F}"/>
    <hyperlink ref="Y124" r:id="rId16" xr:uid="{3A98783D-4060-469E-8818-1CE16E83B803}"/>
    <hyperlink ref="Y125" r:id="rId17" xr:uid="{5D3940B7-4CD4-48F1-A4A7-B4F1EF263B1D}"/>
    <hyperlink ref="Y78" r:id="rId18" xr:uid="{A6BC967A-3EEC-4471-A276-508401D4143D}"/>
    <hyperlink ref="Z10" r:id="rId19" display="https://treasury.gov.au/coronavirus" xr:uid="{0128B95F-77B3-4CA9-8E76-1EEF47278954}"/>
    <hyperlink ref="Y10" r:id="rId20" xr:uid="{6810141C-65B9-41B5-825F-5F7676544A40}"/>
    <hyperlink ref="Y26" r:id="rId21" xr:uid="{21923962-7859-43B0-B1C2-7D8CE689E03E}"/>
    <hyperlink ref="Y118" r:id="rId22" display="https://urldefense.proofpoint.com/v2/url?u=https-3A__www.gov.pl_web_tarczaantykryzysowa&amp;d=DwMFBA&amp;c=G8CoXqdZ57E1EOn2t2CVrg&amp;r=1dNmfCwUPm-Zyfp8PIjgpWCvO5QO5p2LM0QGFAzgPvI&amp;m=nz2rsJenFWhU9KRBhOJ8maK12Et9Tar9PrzSGpsIzBw&amp;s=CAY3fc6DLo3KDD4wEX63BZhcse8VIq2LHFGPVw4INzI&amp;e=" xr:uid="{F65B4377-8CA0-4238-B924-FA20D48F167D}"/>
  </hyperlinks>
  <pageMargins left="0.7" right="0.7" top="0.75" bottom="0.75" header="0.3" footer="0.3"/>
  <pageSetup scale="44" fitToHeight="0" orientation="landscape" r:id="rId23"/>
  <rowBreaks count="10" manualBreakCount="10">
    <brk id="21" max="15" man="1"/>
    <brk id="36" max="21" man="1"/>
    <brk id="42" max="17" man="1"/>
    <brk id="53" max="17" man="1"/>
    <brk id="62" max="17" man="1"/>
    <brk id="75" max="17" man="1"/>
    <brk id="88" max="17" man="1"/>
    <brk id="105" max="17" man="1"/>
    <brk id="120" max="17" man="1"/>
    <brk id="137" max="17" man="1"/>
  </rowBreaks>
  <colBreaks count="1" manualBreakCount="1">
    <brk id="2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CAD2-21DA-4E2C-8190-993582B7F51A}">
  <sheetPr>
    <tabColor rgb="FFFF0000"/>
    <pageSetUpPr fitToPage="1"/>
  </sheetPr>
  <dimension ref="A2:AE204"/>
  <sheetViews>
    <sheetView tabSelected="1" view="pageBreakPreview" zoomScale="63" zoomScaleNormal="100" zoomScaleSheetLayoutView="63" workbookViewId="0">
      <pane ySplit="5" topLeftCell="A201" activePane="bottomLeft" state="frozen"/>
      <selection activeCell="L18" sqref="L18"/>
      <selection pane="bottomLeft" activeCell="C202" sqref="C202:X202"/>
    </sheetView>
  </sheetViews>
  <sheetFormatPr defaultColWidth="8.54296875" defaultRowHeight="12.5" outlineLevelRow="1" outlineLevelCol="1"/>
  <cols>
    <col min="1" max="1" width="6.54296875" style="33" customWidth="1" outlineLevel="1"/>
    <col min="2" max="2" width="7.1796875" style="33" customWidth="1" outlineLevel="1"/>
    <col min="3" max="3" width="5.81640625" style="553" customWidth="1"/>
    <col min="4" max="4" width="5.81640625" style="42" customWidth="1"/>
    <col min="5" max="5" width="1.453125" style="55" customWidth="1"/>
    <col min="6" max="6" width="4" style="35" bestFit="1" customWidth="1"/>
    <col min="7" max="7" width="10.54296875" style="246" customWidth="1"/>
    <col min="8" max="8" width="8.1796875" style="33" customWidth="1"/>
    <col min="9" max="9" width="42" style="55" customWidth="1"/>
    <col min="10" max="10" width="9.54296875" style="55" bestFit="1" customWidth="1"/>
    <col min="11" max="11" width="127" style="35" customWidth="1"/>
    <col min="12" max="12" width="9" style="35" customWidth="1"/>
    <col min="13" max="13" width="36.54296875" style="35" customWidth="1"/>
    <col min="14" max="14" width="1.453125" style="55" customWidth="1"/>
    <col min="15" max="15" width="4" style="35" bestFit="1" customWidth="1"/>
    <col min="16" max="16" width="9.453125" style="55" customWidth="1"/>
    <col min="17" max="17" width="8.453125" style="261" customWidth="1"/>
    <col min="18" max="18" width="32.1796875" style="35" customWidth="1"/>
    <col min="19" max="19" width="1.453125" style="55" customWidth="1"/>
    <col min="20" max="20" width="4" style="35" bestFit="1" customWidth="1"/>
    <col min="21" max="21" width="8.54296875" style="246" bestFit="1" customWidth="1"/>
    <col min="22" max="22" width="37.453125" style="35" customWidth="1"/>
    <col min="23" max="23" width="9" style="35" customWidth="1"/>
    <col min="24" max="24" width="39.26953125" style="35" customWidth="1"/>
    <col min="25" max="25" width="1.26953125" style="35" customWidth="1"/>
    <col min="26" max="26" width="2.54296875" style="55" customWidth="1"/>
    <col min="27" max="27" width="52.453125" style="225" customWidth="1" outlineLevel="1"/>
    <col min="28" max="28" width="31.453125" style="33" customWidth="1" outlineLevel="1"/>
    <col min="29" max="30" width="8.54296875" style="33" customWidth="1" outlineLevel="1"/>
    <col min="31" max="16384" width="8.54296875" style="33"/>
  </cols>
  <sheetData>
    <row r="2" spans="1:30" ht="21.65" customHeight="1">
      <c r="A2" s="591"/>
      <c r="C2" s="604" t="s">
        <v>874</v>
      </c>
      <c r="D2" s="604"/>
      <c r="E2" s="52"/>
      <c r="F2" s="605"/>
      <c r="G2" s="606"/>
      <c r="H2" s="2"/>
      <c r="I2" s="52"/>
      <c r="J2" s="52"/>
      <c r="K2" s="12"/>
      <c r="L2" s="12"/>
      <c r="M2" s="12"/>
      <c r="N2" s="52"/>
      <c r="O2" s="12"/>
      <c r="P2" s="52"/>
      <c r="Q2" s="262"/>
      <c r="R2" s="12"/>
      <c r="S2" s="52"/>
      <c r="T2" s="12"/>
      <c r="U2" s="248"/>
      <c r="V2" s="12"/>
      <c r="W2" s="12"/>
      <c r="X2" s="12"/>
    </row>
    <row r="3" spans="1:30" ht="116.15" customHeight="1" outlineLevel="1">
      <c r="A3" s="591"/>
      <c r="C3" s="1251" t="s">
        <v>1779</v>
      </c>
      <c r="D3" s="1251"/>
      <c r="E3" s="1251"/>
      <c r="F3" s="1251"/>
      <c r="G3" s="1251"/>
      <c r="H3" s="1251"/>
      <c r="I3" s="1251"/>
      <c r="J3" s="1251"/>
      <c r="K3" s="1251"/>
      <c r="L3" s="1251"/>
      <c r="M3" s="1251"/>
      <c r="N3" s="1251"/>
      <c r="O3" s="1251"/>
      <c r="P3" s="1251"/>
      <c r="Q3" s="1251"/>
      <c r="R3" s="1251"/>
      <c r="S3" s="1251"/>
      <c r="T3" s="1251"/>
      <c r="U3" s="1251"/>
      <c r="V3" s="1251"/>
      <c r="W3" s="1251"/>
      <c r="X3" s="1251"/>
      <c r="AA3" s="602"/>
    </row>
    <row r="4" spans="1:30" ht="13" customHeight="1">
      <c r="A4" s="14"/>
      <c r="B4" s="14"/>
      <c r="C4" s="597"/>
      <c r="D4" s="597"/>
      <c r="F4" s="597"/>
      <c r="G4" s="599"/>
      <c r="H4" s="1234" t="s">
        <v>592</v>
      </c>
      <c r="I4" s="1234"/>
      <c r="J4" s="1234"/>
      <c r="K4" s="1234"/>
      <c r="L4" s="1234"/>
      <c r="M4" s="1234"/>
      <c r="O4" s="597"/>
      <c r="P4" s="600"/>
      <c r="Q4" s="1183" t="s">
        <v>593</v>
      </c>
      <c r="R4" s="1183"/>
      <c r="T4" s="1183" t="s">
        <v>594</v>
      </c>
      <c r="U4" s="1183"/>
      <c r="V4" s="1183"/>
      <c r="W4" s="1183"/>
      <c r="X4" s="1183"/>
      <c r="Y4" s="47" t="s">
        <v>60</v>
      </c>
      <c r="AA4" s="46" t="s">
        <v>43</v>
      </c>
    </row>
    <row r="5" spans="1:30" s="5" customFormat="1" ht="72.75" customHeight="1">
      <c r="A5" s="592" t="s">
        <v>860</v>
      </c>
      <c r="B5" s="37" t="s">
        <v>859</v>
      </c>
      <c r="C5" s="593" t="s">
        <v>1671</v>
      </c>
      <c r="D5" s="598" t="s">
        <v>857</v>
      </c>
      <c r="E5" s="61"/>
      <c r="F5" s="596" t="s">
        <v>856</v>
      </c>
      <c r="G5" s="595" t="s">
        <v>738</v>
      </c>
      <c r="H5" s="101" t="s">
        <v>107</v>
      </c>
      <c r="I5" s="65" t="s">
        <v>543</v>
      </c>
      <c r="J5" s="101" t="s">
        <v>706</v>
      </c>
      <c r="K5" s="65" t="s">
        <v>544</v>
      </c>
      <c r="L5" s="65" t="s">
        <v>706</v>
      </c>
      <c r="M5" s="555" t="s">
        <v>710</v>
      </c>
      <c r="N5" s="61"/>
      <c r="O5" s="596" t="s">
        <v>856</v>
      </c>
      <c r="P5" s="594" t="s">
        <v>595</v>
      </c>
      <c r="Q5" s="83" t="s">
        <v>706</v>
      </c>
      <c r="R5" s="65" t="s">
        <v>410</v>
      </c>
      <c r="S5" s="61"/>
      <c r="T5" s="590" t="s">
        <v>856</v>
      </c>
      <c r="U5" s="83" t="s">
        <v>706</v>
      </c>
      <c r="V5" s="65" t="s">
        <v>707</v>
      </c>
      <c r="W5" s="65" t="s">
        <v>706</v>
      </c>
      <c r="X5" s="65" t="s">
        <v>708</v>
      </c>
      <c r="Y5" s="226" t="s">
        <v>114</v>
      </c>
      <c r="Z5" s="61"/>
      <c r="AA5" s="226"/>
      <c r="AD5" s="5" t="s">
        <v>598</v>
      </c>
    </row>
    <row r="6" spans="1:30" ht="154.5" customHeight="1">
      <c r="A6" s="1272">
        <v>1</v>
      </c>
      <c r="B6" s="1269" t="s">
        <v>858</v>
      </c>
      <c r="C6" s="1255" t="s">
        <v>0</v>
      </c>
      <c r="D6" s="1252" t="s">
        <v>570</v>
      </c>
      <c r="E6" s="3"/>
      <c r="F6" s="520" t="s">
        <v>115</v>
      </c>
      <c r="G6" s="190">
        <v>361.7</v>
      </c>
      <c r="H6" s="470">
        <v>20</v>
      </c>
      <c r="I6" s="1258" t="s">
        <v>1506</v>
      </c>
      <c r="J6" s="934">
        <v>341.7</v>
      </c>
      <c r="K6" s="1258" t="s">
        <v>1562</v>
      </c>
      <c r="L6" s="513"/>
      <c r="M6" s="1187"/>
      <c r="N6" s="3"/>
      <c r="O6" s="520" t="s">
        <v>115</v>
      </c>
      <c r="P6" s="522">
        <v>35</v>
      </c>
      <c r="Q6" s="265">
        <v>15</v>
      </c>
      <c r="R6" s="1184" t="s">
        <v>1256</v>
      </c>
      <c r="S6" s="3"/>
      <c r="T6" s="520" t="s">
        <v>115</v>
      </c>
      <c r="U6" s="190">
        <v>20</v>
      </c>
      <c r="V6" s="1190" t="s">
        <v>1507</v>
      </c>
      <c r="W6" s="923"/>
      <c r="X6" s="923"/>
      <c r="Y6" s="1185" t="s">
        <v>62</v>
      </c>
      <c r="AA6" s="1239" t="s">
        <v>61</v>
      </c>
      <c r="AD6" s="33" t="str">
        <f>C6&amp;F6</f>
        <v>AustraliaLC bn</v>
      </c>
    </row>
    <row r="7" spans="1:30" ht="107.25" customHeight="1">
      <c r="A7" s="1269"/>
      <c r="B7" s="1269"/>
      <c r="C7" s="1273"/>
      <c r="D7" s="1277"/>
      <c r="E7" s="3"/>
      <c r="F7" s="520" t="s">
        <v>116</v>
      </c>
      <c r="G7" s="522">
        <v>249.72579708899613</v>
      </c>
      <c r="H7" s="470">
        <v>13.808448829914081</v>
      </c>
      <c r="I7" s="1238"/>
      <c r="J7" s="522">
        <v>235.91734825908208</v>
      </c>
      <c r="K7" s="1238"/>
      <c r="L7" s="922"/>
      <c r="M7" s="1300"/>
      <c r="N7" s="3"/>
      <c r="O7" s="520" t="s">
        <v>116</v>
      </c>
      <c r="P7" s="926">
        <v>24.164785452349641</v>
      </c>
      <c r="Q7" s="926">
        <v>10.356336622435562</v>
      </c>
      <c r="R7" s="1219"/>
      <c r="S7" s="3"/>
      <c r="T7" s="520" t="s">
        <v>116</v>
      </c>
      <c r="U7" s="285">
        <v>13.808448829914079</v>
      </c>
      <c r="V7" s="1238"/>
      <c r="W7" s="923"/>
      <c r="X7" s="923"/>
      <c r="Y7" s="1185"/>
      <c r="AA7" s="1239"/>
      <c r="AD7" s="33" t="str">
        <f>C6&amp;F7</f>
        <v>AustraliaUSD bn</v>
      </c>
    </row>
    <row r="8" spans="1:30" ht="118.5" customHeight="1">
      <c r="A8" s="1269"/>
      <c r="B8" s="1269"/>
      <c r="C8" s="1257"/>
      <c r="D8" s="1254"/>
      <c r="E8" s="52"/>
      <c r="F8" s="53" t="s">
        <v>117</v>
      </c>
      <c r="G8" s="17">
        <v>18.370673152863606</v>
      </c>
      <c r="H8" s="17">
        <v>1.0157961378415044</v>
      </c>
      <c r="I8" s="1192"/>
      <c r="J8" s="17">
        <v>17.354877015022101</v>
      </c>
      <c r="K8" s="1192"/>
      <c r="L8" s="921"/>
      <c r="M8" s="1189"/>
      <c r="N8" s="52"/>
      <c r="O8" s="53" t="s">
        <v>117</v>
      </c>
      <c r="P8" s="173">
        <v>1.7776432412226328</v>
      </c>
      <c r="Q8" s="267">
        <v>0.76184710338112827</v>
      </c>
      <c r="R8" s="1186"/>
      <c r="S8" s="52"/>
      <c r="T8" s="53" t="s">
        <v>117</v>
      </c>
      <c r="U8" s="77">
        <v>1.0157961378415044</v>
      </c>
      <c r="V8" s="1192"/>
      <c r="W8" s="920"/>
      <c r="X8" s="920"/>
      <c r="Y8" s="1186"/>
      <c r="Z8" s="52"/>
      <c r="AA8" s="1240"/>
      <c r="AD8" s="33" t="str">
        <f>C6&amp;F8</f>
        <v>Australia% GDP</v>
      </c>
    </row>
    <row r="9" spans="1:30" s="352" customFormat="1" ht="51.75" customHeight="1">
      <c r="A9" s="1269">
        <v>1</v>
      </c>
      <c r="B9" s="1269" t="s">
        <v>858</v>
      </c>
      <c r="C9" s="1255" t="s">
        <v>1</v>
      </c>
      <c r="D9" s="1277" t="s">
        <v>571</v>
      </c>
      <c r="E9" s="16"/>
      <c r="F9" s="38" t="s">
        <v>115</v>
      </c>
      <c r="G9" s="102">
        <v>351.09999999999997</v>
      </c>
      <c r="H9" s="102">
        <v>61.2</v>
      </c>
      <c r="I9" s="1220" t="s">
        <v>1616</v>
      </c>
      <c r="J9" s="102">
        <v>289.89999999999998</v>
      </c>
      <c r="K9" s="1184" t="s">
        <v>1556</v>
      </c>
      <c r="L9" s="102">
        <v>85.1</v>
      </c>
      <c r="M9" s="1184" t="s">
        <v>1617</v>
      </c>
      <c r="N9" s="16"/>
      <c r="O9" s="38" t="s">
        <v>115</v>
      </c>
      <c r="P9" s="496">
        <v>87.100000000000009</v>
      </c>
      <c r="Q9" s="268">
        <v>5.2</v>
      </c>
      <c r="R9" s="1184" t="s">
        <v>1618</v>
      </c>
      <c r="S9" s="16"/>
      <c r="T9" s="38" t="s">
        <v>115</v>
      </c>
      <c r="U9" s="62">
        <v>81.900000000000006</v>
      </c>
      <c r="V9" s="1184" t="s">
        <v>1412</v>
      </c>
      <c r="W9" s="1059"/>
      <c r="X9" s="1059"/>
      <c r="Y9" s="1059"/>
      <c r="Z9" s="15"/>
      <c r="AA9" s="1062" t="s">
        <v>63</v>
      </c>
      <c r="AB9" s="1312" t="s">
        <v>213</v>
      </c>
      <c r="AD9" s="352" t="str">
        <f>C9&amp;F9</f>
        <v>CanadaLC bn</v>
      </c>
    </row>
    <row r="10" spans="1:30" s="352" customFormat="1" ht="62.25" customHeight="1">
      <c r="A10" s="1269"/>
      <c r="B10" s="1269"/>
      <c r="C10" s="1273"/>
      <c r="D10" s="1277"/>
      <c r="E10" s="6"/>
      <c r="F10" s="520" t="s">
        <v>116</v>
      </c>
      <c r="G10" s="522">
        <v>261.78973301959445</v>
      </c>
      <c r="H10" s="470">
        <v>45.632388666474455</v>
      </c>
      <c r="I10" s="1287"/>
      <c r="J10" s="522">
        <v>216.15734435311998</v>
      </c>
      <c r="K10" s="1219"/>
      <c r="L10" s="522">
        <v>68.027303732528338</v>
      </c>
      <c r="M10" s="1219"/>
      <c r="N10" s="6"/>
      <c r="O10" s="520" t="s">
        <v>116</v>
      </c>
      <c r="P10" s="927">
        <v>64.944134850488979</v>
      </c>
      <c r="Q10" s="926">
        <v>3.8772617821187447</v>
      </c>
      <c r="R10" s="1219"/>
      <c r="S10" s="6"/>
      <c r="T10" s="520" t="s">
        <v>116</v>
      </c>
      <c r="U10" s="926">
        <v>61.066873068370228</v>
      </c>
      <c r="V10" s="1219"/>
      <c r="W10" s="1065"/>
      <c r="X10" s="1065"/>
      <c r="Y10" s="1065"/>
      <c r="Z10" s="3"/>
      <c r="AA10" s="1063"/>
      <c r="AB10" s="1313"/>
      <c r="AD10" s="352" t="str">
        <f>C9&amp;F10</f>
        <v>CanadaUSD bn</v>
      </c>
    </row>
    <row r="11" spans="1:30" s="352" customFormat="1" ht="120.75" customHeight="1">
      <c r="A11" s="1269"/>
      <c r="B11" s="1269"/>
      <c r="C11" s="1257"/>
      <c r="D11" s="1254"/>
      <c r="E11" s="12"/>
      <c r="F11" s="53" t="s">
        <v>117</v>
      </c>
      <c r="G11" s="17">
        <v>15.923588544631171</v>
      </c>
      <c r="H11" s="17">
        <v>2.77562978903853</v>
      </c>
      <c r="I11" s="1222"/>
      <c r="J11" s="17">
        <v>13.147958755592642</v>
      </c>
      <c r="K11" s="1186"/>
      <c r="L11" s="17">
        <v>3.8595767164571715</v>
      </c>
      <c r="M11" s="1186"/>
      <c r="N11" s="12"/>
      <c r="O11" s="53" t="s">
        <v>117</v>
      </c>
      <c r="P11" s="499">
        <v>3.9502835723081042</v>
      </c>
      <c r="Q11" s="267">
        <v>0.23583782521242411</v>
      </c>
      <c r="R11" s="1186"/>
      <c r="S11" s="12"/>
      <c r="T11" s="53" t="s">
        <v>117</v>
      </c>
      <c r="U11" s="267">
        <v>3.71444574709568</v>
      </c>
      <c r="V11" s="1186"/>
      <c r="W11" s="1060"/>
      <c r="X11" s="1060"/>
      <c r="Y11" s="1060"/>
      <c r="Z11" s="52"/>
      <c r="AA11" s="1064"/>
      <c r="AB11" s="1313"/>
      <c r="AD11" s="352" t="str">
        <f>C9&amp;F11</f>
        <v>Canada% GDP</v>
      </c>
    </row>
    <row r="12" spans="1:30" s="352" customFormat="1" ht="169.5" customHeight="1">
      <c r="A12" s="1269" t="s">
        <v>84</v>
      </c>
      <c r="B12" s="1269" t="s">
        <v>84</v>
      </c>
      <c r="C12" s="1255" t="s">
        <v>430</v>
      </c>
      <c r="D12" s="1277"/>
      <c r="E12" s="16"/>
      <c r="F12" s="520" t="s">
        <v>115</v>
      </c>
      <c r="G12" s="102">
        <v>427.85</v>
      </c>
      <c r="H12" s="62">
        <v>0.05</v>
      </c>
      <c r="I12" s="1220" t="s">
        <v>1257</v>
      </c>
      <c r="J12" s="102">
        <v>427.8</v>
      </c>
      <c r="K12" s="1184" t="s">
        <v>1619</v>
      </c>
      <c r="L12" s="1059"/>
      <c r="M12" s="1059"/>
      <c r="N12" s="16"/>
      <c r="O12" s="520" t="s">
        <v>115</v>
      </c>
      <c r="P12" s="496">
        <v>765</v>
      </c>
      <c r="Q12" s="270">
        <v>700</v>
      </c>
      <c r="R12" s="1190" t="s">
        <v>1620</v>
      </c>
      <c r="S12" s="16"/>
      <c r="T12" s="520" t="s">
        <v>115</v>
      </c>
      <c r="U12" s="102">
        <v>65</v>
      </c>
      <c r="V12" s="1184" t="s">
        <v>1427</v>
      </c>
      <c r="W12" s="1059"/>
      <c r="X12" s="1059"/>
      <c r="Y12" s="1184" t="s">
        <v>74</v>
      </c>
      <c r="Z12" s="15"/>
      <c r="AA12" s="22"/>
      <c r="AD12" s="352" t="str">
        <f>C12&amp;F12</f>
        <v>European UnionLC bn</v>
      </c>
    </row>
    <row r="13" spans="1:30" s="352" customFormat="1" ht="138" customHeight="1">
      <c r="A13" s="1269"/>
      <c r="B13" s="1269"/>
      <c r="C13" s="1273"/>
      <c r="D13" s="1277"/>
      <c r="E13" s="6"/>
      <c r="F13" s="520" t="s">
        <v>116</v>
      </c>
      <c r="G13" s="251">
        <v>488.29744352478542</v>
      </c>
      <c r="H13" s="82">
        <v>5.706409296772063E-2</v>
      </c>
      <c r="I13" s="1287"/>
      <c r="J13" s="251">
        <v>488.2403794318177</v>
      </c>
      <c r="K13" s="1219"/>
      <c r="L13" s="1065"/>
      <c r="M13" s="1065"/>
      <c r="N13" s="6"/>
      <c r="O13" s="520" t="s">
        <v>116</v>
      </c>
      <c r="P13" s="927">
        <v>873.0806224061256</v>
      </c>
      <c r="Q13" s="251">
        <v>798.89730154808876</v>
      </c>
      <c r="R13" s="1238"/>
      <c r="S13" s="6"/>
      <c r="T13" s="520" t="s">
        <v>116</v>
      </c>
      <c r="U13" s="251">
        <v>74.183320858036808</v>
      </c>
      <c r="V13" s="1219"/>
      <c r="W13" s="1065"/>
      <c r="X13" s="1065"/>
      <c r="Y13" s="1219"/>
      <c r="Z13" s="3"/>
      <c r="AA13" s="1063"/>
      <c r="AD13" s="352" t="str">
        <f>C12&amp;F13</f>
        <v>European UnionUSD bn</v>
      </c>
    </row>
    <row r="14" spans="1:30" s="352" customFormat="1" ht="188.25" customHeight="1">
      <c r="A14" s="1269"/>
      <c r="B14" s="1269"/>
      <c r="C14" s="1257"/>
      <c r="D14" s="1254"/>
      <c r="E14" s="12"/>
      <c r="F14" s="53" t="s">
        <v>117</v>
      </c>
      <c r="G14" s="252">
        <v>3.7559632555567588</v>
      </c>
      <c r="H14" s="17">
        <v>4.3893458636867576E-4</v>
      </c>
      <c r="I14" s="1222"/>
      <c r="J14" s="252">
        <v>3.7555243209703901</v>
      </c>
      <c r="K14" s="1186"/>
      <c r="L14" s="1060"/>
      <c r="M14" s="1060"/>
      <c r="N14" s="12"/>
      <c r="O14" s="53" t="s">
        <v>117</v>
      </c>
      <c r="P14" s="499">
        <v>6.7156991714407397</v>
      </c>
      <c r="Q14" s="252">
        <v>6.1450842091614613</v>
      </c>
      <c r="R14" s="1192"/>
      <c r="S14" s="12"/>
      <c r="T14" s="53" t="s">
        <v>117</v>
      </c>
      <c r="U14" s="252">
        <v>0.57061496227927855</v>
      </c>
      <c r="V14" s="1186"/>
      <c r="W14" s="1060"/>
      <c r="X14" s="1060"/>
      <c r="Y14" s="1186"/>
      <c r="Z14" s="52"/>
      <c r="AA14" s="1064"/>
      <c r="AD14" s="352" t="str">
        <f>C12&amp;F14</f>
        <v>European Union% GDP</v>
      </c>
    </row>
    <row r="15" spans="1:30" s="352" customFormat="1" ht="91.5" customHeight="1">
      <c r="A15" s="1269">
        <v>1</v>
      </c>
      <c r="B15" s="1269" t="s">
        <v>858</v>
      </c>
      <c r="C15" s="1273" t="s">
        <v>2</v>
      </c>
      <c r="D15" s="1277" t="s">
        <v>570</v>
      </c>
      <c r="E15" s="16"/>
      <c r="F15" s="520" t="s">
        <v>115</v>
      </c>
      <c r="G15" s="102">
        <v>221.9</v>
      </c>
      <c r="H15" s="102">
        <v>33.9</v>
      </c>
      <c r="I15" s="1184" t="s">
        <v>1621</v>
      </c>
      <c r="J15" s="177">
        <v>188</v>
      </c>
      <c r="K15" s="1190" t="s">
        <v>1622</v>
      </c>
      <c r="L15" s="177">
        <v>69.5</v>
      </c>
      <c r="M15" s="1190" t="s">
        <v>1496</v>
      </c>
      <c r="N15" s="16"/>
      <c r="O15" s="520" t="s">
        <v>115</v>
      </c>
      <c r="P15" s="496">
        <v>350.3</v>
      </c>
      <c r="Q15" s="270">
        <v>15.8</v>
      </c>
      <c r="R15" s="1184" t="s">
        <v>1558</v>
      </c>
      <c r="S15" s="16"/>
      <c r="T15" s="520" t="s">
        <v>115</v>
      </c>
      <c r="U15" s="102">
        <v>334.5</v>
      </c>
      <c r="V15" s="1184" t="s">
        <v>1497</v>
      </c>
      <c r="W15" s="1059"/>
      <c r="X15" s="1059"/>
      <c r="Y15" s="1059" t="s">
        <v>214</v>
      </c>
      <c r="Z15" s="15"/>
      <c r="AA15" s="1062" t="s">
        <v>64</v>
      </c>
      <c r="AD15" s="352" t="str">
        <f>C15&amp;F15</f>
        <v>FranceLC bn</v>
      </c>
    </row>
    <row r="16" spans="1:30" s="352" customFormat="1" ht="72.75" customHeight="1">
      <c r="A16" s="1269"/>
      <c r="B16" s="1269"/>
      <c r="C16" s="1273"/>
      <c r="D16" s="1277"/>
      <c r="E16" s="6"/>
      <c r="F16" s="520" t="s">
        <v>116</v>
      </c>
      <c r="G16" s="103">
        <v>252.88463784604201</v>
      </c>
      <c r="H16" s="103">
        <v>38.633570180174964</v>
      </c>
      <c r="I16" s="1219"/>
      <c r="J16" s="82">
        <v>214.25106766586705</v>
      </c>
      <c r="K16" s="1238"/>
      <c r="L16" s="82">
        <v>79.204517036051911</v>
      </c>
      <c r="M16" s="1238"/>
      <c r="N16" s="6"/>
      <c r="O16" s="520" t="s">
        <v>116</v>
      </c>
      <c r="P16" s="927">
        <v>399.21355852847461</v>
      </c>
      <c r="Q16" s="82">
        <v>18.006206750642018</v>
      </c>
      <c r="R16" s="1219"/>
      <c r="S16" s="6"/>
      <c r="T16" s="520" t="s">
        <v>116</v>
      </c>
      <c r="U16" s="82">
        <v>381.20735177783257</v>
      </c>
      <c r="V16" s="1219"/>
      <c r="W16" s="1065"/>
      <c r="X16" s="1065"/>
      <c r="Y16" s="1065"/>
      <c r="Z16" s="3"/>
      <c r="AA16" s="1063"/>
      <c r="AD16" s="352" t="str">
        <f>C15&amp;F16</f>
        <v>FranceUSD bn</v>
      </c>
    </row>
    <row r="17" spans="1:30" s="2" customFormat="1" ht="33" customHeight="1">
      <c r="A17" s="1269"/>
      <c r="B17" s="1269"/>
      <c r="C17" s="1257"/>
      <c r="D17" s="1254"/>
      <c r="E17" s="12"/>
      <c r="F17" s="53" t="s">
        <v>117</v>
      </c>
      <c r="G17" s="17">
        <v>9.6358441242628725</v>
      </c>
      <c r="H17" s="17">
        <v>1.4720825408405198</v>
      </c>
      <c r="I17" s="1186"/>
      <c r="J17" s="17">
        <v>8.1637615834223514</v>
      </c>
      <c r="K17" s="1192"/>
      <c r="L17" s="17">
        <v>3.017986330041774</v>
      </c>
      <c r="M17" s="1192"/>
      <c r="N17" s="12"/>
      <c r="O17" s="53" t="s">
        <v>117</v>
      </c>
      <c r="P17" s="499">
        <v>15.211519588685375</v>
      </c>
      <c r="Q17" s="17">
        <v>0.68610336711741049</v>
      </c>
      <c r="R17" s="1186"/>
      <c r="S17" s="12"/>
      <c r="T17" s="53" t="s">
        <v>117</v>
      </c>
      <c r="U17" s="17">
        <v>14.525416221567964</v>
      </c>
      <c r="V17" s="1186"/>
      <c r="W17" s="1060"/>
      <c r="X17" s="1060"/>
      <c r="Y17" s="1060"/>
      <c r="Z17" s="52"/>
      <c r="AA17" s="1064"/>
      <c r="AD17" s="352" t="str">
        <f>C15&amp;F17</f>
        <v>France% GDP</v>
      </c>
    </row>
    <row r="18" spans="1:30" s="229" customFormat="1" ht="52.5" customHeight="1">
      <c r="A18" s="1269">
        <v>1</v>
      </c>
      <c r="B18" s="1269" t="s">
        <v>858</v>
      </c>
      <c r="C18" s="1273" t="s">
        <v>3</v>
      </c>
      <c r="D18" s="1314" t="s">
        <v>570</v>
      </c>
      <c r="E18" s="16"/>
      <c r="F18" s="38" t="s">
        <v>115</v>
      </c>
      <c r="G18" s="102">
        <v>516</v>
      </c>
      <c r="H18" s="102">
        <v>61</v>
      </c>
      <c r="I18" s="1220" t="s">
        <v>1545</v>
      </c>
      <c r="J18" s="102">
        <v>455</v>
      </c>
      <c r="K18" s="1184" t="s">
        <v>1623</v>
      </c>
      <c r="L18" s="1061"/>
      <c r="M18" s="1184" t="s">
        <v>357</v>
      </c>
      <c r="N18" s="16"/>
      <c r="O18" s="38" t="s">
        <v>115</v>
      </c>
      <c r="P18" s="187">
        <v>927</v>
      </c>
      <c r="Q18" s="270">
        <v>100</v>
      </c>
      <c r="R18" s="1184" t="s">
        <v>289</v>
      </c>
      <c r="S18" s="16"/>
      <c r="T18" s="38" t="s">
        <v>115</v>
      </c>
      <c r="U18" s="102">
        <v>827</v>
      </c>
      <c r="V18" s="1184" t="s">
        <v>1555</v>
      </c>
      <c r="W18" s="1059"/>
      <c r="X18" s="1059"/>
      <c r="Y18" s="1184" t="s">
        <v>65</v>
      </c>
      <c r="Z18" s="15"/>
      <c r="AA18" s="1225" t="s">
        <v>67</v>
      </c>
      <c r="AD18" s="352" t="str">
        <f>C18&amp;F18</f>
        <v>GermanyLC bn</v>
      </c>
    </row>
    <row r="19" spans="1:30" s="352" customFormat="1" ht="54.65" customHeight="1">
      <c r="A19" s="1269"/>
      <c r="B19" s="1269"/>
      <c r="C19" s="1273"/>
      <c r="D19" s="1314"/>
      <c r="E19" s="6"/>
      <c r="F19" s="520" t="s">
        <v>116</v>
      </c>
      <c r="G19" s="103">
        <v>588.90143942687689</v>
      </c>
      <c r="H19" s="103">
        <v>69.618193420619164</v>
      </c>
      <c r="I19" s="1287"/>
      <c r="J19" s="522">
        <v>519.28324600625774</v>
      </c>
      <c r="K19" s="1219"/>
      <c r="L19" s="939"/>
      <c r="M19" s="1219"/>
      <c r="N19" s="6"/>
      <c r="O19" s="520" t="s">
        <v>116</v>
      </c>
      <c r="P19" s="256">
        <v>1057.9682836215404</v>
      </c>
      <c r="Q19" s="266">
        <v>114.12818593544125</v>
      </c>
      <c r="R19" s="1219"/>
      <c r="S19" s="6"/>
      <c r="T19" s="520" t="s">
        <v>116</v>
      </c>
      <c r="U19" s="522">
        <v>943.84009768609917</v>
      </c>
      <c r="V19" s="1219"/>
      <c r="W19" s="1065"/>
      <c r="X19" s="1065"/>
      <c r="Y19" s="1219"/>
      <c r="Z19" s="3"/>
      <c r="AA19" s="1226"/>
      <c r="AD19" s="352" t="str">
        <f>C18&amp;F19</f>
        <v>GermanyUSD bn</v>
      </c>
    </row>
    <row r="20" spans="1:30" s="352" customFormat="1" ht="87.65" customHeight="1">
      <c r="A20" s="1269"/>
      <c r="B20" s="1269"/>
      <c r="C20" s="1257"/>
      <c r="D20" s="1276"/>
      <c r="E20" s="12"/>
      <c r="F20" s="53" t="s">
        <v>117</v>
      </c>
      <c r="G20" s="17">
        <v>15.322666856715248</v>
      </c>
      <c r="H20" s="17">
        <v>1.8114005392628492</v>
      </c>
      <c r="I20" s="1222"/>
      <c r="J20" s="17">
        <v>13.638352846668944</v>
      </c>
      <c r="K20" s="1186"/>
      <c r="L20" s="411"/>
      <c r="M20" s="1186"/>
      <c r="N20" s="12"/>
      <c r="O20" s="53" t="s">
        <v>117</v>
      </c>
      <c r="P20" s="499">
        <v>27.786270524971673</v>
      </c>
      <c r="Q20" s="267">
        <v>2.9974401860810866</v>
      </c>
      <c r="R20" s="1186"/>
      <c r="S20" s="12"/>
      <c r="T20" s="53" t="s">
        <v>117</v>
      </c>
      <c r="U20" s="17">
        <v>24.788830338890588</v>
      </c>
      <c r="V20" s="1186"/>
      <c r="W20" s="1060"/>
      <c r="X20" s="1060"/>
      <c r="Y20" s="1186"/>
      <c r="Z20" s="52"/>
      <c r="AA20" s="1227"/>
      <c r="AD20" s="352" t="str">
        <f>C18&amp;F20</f>
        <v>Germany% GDP</v>
      </c>
    </row>
    <row r="21" spans="1:30" ht="35.25" customHeight="1">
      <c r="A21" s="1268">
        <v>1</v>
      </c>
      <c r="B21" s="1268" t="s">
        <v>858</v>
      </c>
      <c r="C21" s="1256" t="s">
        <v>4</v>
      </c>
      <c r="D21" s="1253" t="s">
        <v>570</v>
      </c>
      <c r="E21" s="16"/>
      <c r="F21" s="175" t="s">
        <v>115</v>
      </c>
      <c r="G21" s="253">
        <v>180</v>
      </c>
      <c r="H21" s="62">
        <v>20</v>
      </c>
      <c r="I21" s="1220" t="s">
        <v>1498</v>
      </c>
      <c r="J21" s="102">
        <v>160</v>
      </c>
      <c r="K21" s="1190" t="s">
        <v>1504</v>
      </c>
      <c r="L21" s="62">
        <v>7</v>
      </c>
      <c r="M21" s="1190" t="s">
        <v>1326</v>
      </c>
      <c r="N21" s="16"/>
      <c r="O21" s="175" t="s">
        <v>115</v>
      </c>
      <c r="P21" s="102">
        <v>582.25</v>
      </c>
      <c r="Q21" s="268">
        <v>3.25</v>
      </c>
      <c r="R21" s="1190" t="s">
        <v>604</v>
      </c>
      <c r="S21" s="16"/>
      <c r="T21" s="175" t="s">
        <v>115</v>
      </c>
      <c r="U21" s="253">
        <v>579</v>
      </c>
      <c r="V21" s="1190" t="s">
        <v>1503</v>
      </c>
      <c r="W21" s="469"/>
      <c r="X21" s="1190"/>
      <c r="Y21" s="1184" t="s">
        <v>216</v>
      </c>
      <c r="Z21" s="15"/>
      <c r="AA21" s="218" t="s">
        <v>66</v>
      </c>
      <c r="AD21" s="33" t="str">
        <f>C21&amp;F21</f>
        <v>ItalyLC bn</v>
      </c>
    </row>
    <row r="22" spans="1:30" ht="41.25" customHeight="1">
      <c r="A22" s="1268"/>
      <c r="B22" s="1268"/>
      <c r="C22" s="1256"/>
      <c r="D22" s="1253"/>
      <c r="E22" s="35"/>
      <c r="F22" s="175" t="s">
        <v>116</v>
      </c>
      <c r="G22" s="251">
        <v>205.43073468379424</v>
      </c>
      <c r="H22" s="82">
        <v>22.825637187088251</v>
      </c>
      <c r="I22" s="1287"/>
      <c r="J22" s="251">
        <v>182.60509749670601</v>
      </c>
      <c r="K22" s="1191"/>
      <c r="L22" s="258">
        <v>7.9889730154808873</v>
      </c>
      <c r="M22" s="1238"/>
      <c r="N22" s="35"/>
      <c r="O22" s="175" t="s">
        <v>116</v>
      </c>
      <c r="P22" s="251">
        <v>664.51136260910664</v>
      </c>
      <c r="Q22" s="258">
        <v>3.7091660429018405</v>
      </c>
      <c r="R22" s="1238"/>
      <c r="S22" s="35"/>
      <c r="T22" s="175" t="s">
        <v>116</v>
      </c>
      <c r="U22" s="251">
        <v>660.80219656620488</v>
      </c>
      <c r="V22" s="1191"/>
      <c r="W22" s="251"/>
      <c r="X22" s="1191"/>
      <c r="Y22" s="1185"/>
      <c r="AA22" s="197" t="s">
        <v>186</v>
      </c>
      <c r="AD22" s="33" t="str">
        <f>C21&amp;F22</f>
        <v>ItalyUSD bn</v>
      </c>
    </row>
    <row r="23" spans="1:30" ht="63.75" customHeight="1">
      <c r="A23" s="1268"/>
      <c r="B23" s="1268"/>
      <c r="C23" s="1257"/>
      <c r="D23" s="1254"/>
      <c r="E23" s="12"/>
      <c r="F23" s="53" t="s">
        <v>117</v>
      </c>
      <c r="G23" s="252">
        <v>10.898555638640223</v>
      </c>
      <c r="H23" s="17">
        <v>1.2109506265155805</v>
      </c>
      <c r="I23" s="1222"/>
      <c r="J23" s="252">
        <v>9.687605012124644</v>
      </c>
      <c r="K23" s="1192"/>
      <c r="L23" s="252">
        <v>0.42383271928045313</v>
      </c>
      <c r="M23" s="1192"/>
      <c r="N23" s="12"/>
      <c r="O23" s="53" t="s">
        <v>117</v>
      </c>
      <c r="P23" s="252">
        <v>35.253800114434839</v>
      </c>
      <c r="Q23" s="252">
        <v>0.19677947680878183</v>
      </c>
      <c r="R23" s="1192"/>
      <c r="S23" s="12"/>
      <c r="T23" s="53" t="s">
        <v>117</v>
      </c>
      <c r="U23" s="252">
        <v>35.057020637626053</v>
      </c>
      <c r="V23" s="1192"/>
      <c r="W23" s="892"/>
      <c r="X23" s="1192"/>
      <c r="Y23" s="1186"/>
      <c r="Z23" s="52"/>
      <c r="AA23" s="220"/>
      <c r="AD23" s="33" t="str">
        <f>C21&amp;F23</f>
        <v>Italy% GDP</v>
      </c>
    </row>
    <row r="24" spans="1:30" ht="130.5" customHeight="1">
      <c r="A24" s="1268">
        <v>1</v>
      </c>
      <c r="B24" s="1268" t="s">
        <v>858</v>
      </c>
      <c r="C24" s="1301" t="s">
        <v>5</v>
      </c>
      <c r="D24" s="1277" t="s">
        <v>570</v>
      </c>
      <c r="E24" s="16"/>
      <c r="F24" s="520" t="s">
        <v>115</v>
      </c>
      <c r="G24" s="187">
        <v>90100</v>
      </c>
      <c r="H24" s="187">
        <v>11200</v>
      </c>
      <c r="I24" s="1184" t="s">
        <v>1647</v>
      </c>
      <c r="J24" s="187">
        <v>78900</v>
      </c>
      <c r="K24" s="1258" t="s">
        <v>1648</v>
      </c>
      <c r="L24" s="416">
        <v>2900</v>
      </c>
      <c r="M24" s="1190" t="s">
        <v>1508</v>
      </c>
      <c r="N24" s="16"/>
      <c r="O24" s="38" t="s">
        <v>115</v>
      </c>
      <c r="P24" s="965">
        <v>152600</v>
      </c>
      <c r="Q24" s="521"/>
      <c r="R24" s="1305"/>
      <c r="S24" s="16"/>
      <c r="T24" s="38" t="s">
        <v>115</v>
      </c>
      <c r="U24" s="187">
        <v>15700</v>
      </c>
      <c r="V24" s="1305" t="s">
        <v>829</v>
      </c>
      <c r="W24" s="416">
        <v>136900</v>
      </c>
      <c r="X24" s="1289" t="s">
        <v>1472</v>
      </c>
      <c r="Y24" s="1184" t="s">
        <v>298</v>
      </c>
      <c r="Z24" s="15"/>
      <c r="AA24" s="22"/>
      <c r="AD24" s="33" t="str">
        <f>C24&amp;F24</f>
        <v>JapanLC bn</v>
      </c>
    </row>
    <row r="25" spans="1:30" ht="155.25" customHeight="1">
      <c r="A25" s="1268"/>
      <c r="B25" s="1268"/>
      <c r="C25" s="1301"/>
      <c r="D25" s="1277"/>
      <c r="E25" s="6"/>
      <c r="F25" s="520" t="s">
        <v>116</v>
      </c>
      <c r="G25" s="251">
        <v>843.8337860086101</v>
      </c>
      <c r="H25" s="82">
        <v>104.89387795001592</v>
      </c>
      <c r="I25" s="1306"/>
      <c r="J25" s="251">
        <v>738.93990805859426</v>
      </c>
      <c r="K25" s="1238"/>
      <c r="L25" s="251">
        <v>27.16002196920055</v>
      </c>
      <c r="M25" s="1238"/>
      <c r="N25" s="6"/>
      <c r="O25" s="520" t="s">
        <v>116</v>
      </c>
      <c r="P25" s="251">
        <v>1429.1790870689667</v>
      </c>
      <c r="Q25" s="523"/>
      <c r="R25" s="1306"/>
      <c r="S25" s="6"/>
      <c r="T25" s="520" t="s">
        <v>116</v>
      </c>
      <c r="U25" s="251">
        <v>147.0387396263616</v>
      </c>
      <c r="V25" s="1306"/>
      <c r="W25" s="659">
        <v>1282.1403474426052</v>
      </c>
      <c r="X25" s="1315"/>
      <c r="Y25" s="1185"/>
      <c r="AA25" s="219"/>
      <c r="AD25" s="33" t="str">
        <f>C24&amp;F25</f>
        <v>JapanUSD bn</v>
      </c>
    </row>
    <row r="26" spans="1:30" s="2" customFormat="1" ht="168.75" customHeight="1">
      <c r="A26" s="1268"/>
      <c r="B26" s="1268"/>
      <c r="C26" s="1299"/>
      <c r="D26" s="1254"/>
      <c r="E26" s="12"/>
      <c r="F26" s="53" t="s">
        <v>117</v>
      </c>
      <c r="G26" s="252">
        <v>16.725807215115971</v>
      </c>
      <c r="H26" s="17">
        <v>2.0791236493817857</v>
      </c>
      <c r="I26" s="1307"/>
      <c r="J26" s="252">
        <v>14.646683565734186</v>
      </c>
      <c r="K26" s="1192"/>
      <c r="L26" s="252">
        <v>0.5383445163577838</v>
      </c>
      <c r="M26" s="1192"/>
      <c r="N26" s="12"/>
      <c r="O26" s="53" t="s">
        <v>117</v>
      </c>
      <c r="P26" s="252">
        <v>28.328059722826826</v>
      </c>
      <c r="Q26" s="524"/>
      <c r="R26" s="1307"/>
      <c r="S26" s="12"/>
      <c r="T26" s="53" t="s">
        <v>117</v>
      </c>
      <c r="U26" s="252">
        <v>2.9144858299369676</v>
      </c>
      <c r="V26" s="1307"/>
      <c r="W26" s="660">
        <v>25.413573892889861</v>
      </c>
      <c r="X26" s="1316"/>
      <c r="Y26" s="1186"/>
      <c r="Z26" s="52"/>
      <c r="AA26" s="220"/>
      <c r="AD26" s="33" t="str">
        <f>C24&amp;F26</f>
        <v>Japan% GDP</v>
      </c>
    </row>
    <row r="27" spans="1:30" s="229" customFormat="1" ht="115" customHeight="1">
      <c r="A27" s="1268">
        <v>1</v>
      </c>
      <c r="B27" s="1268" t="s">
        <v>858</v>
      </c>
      <c r="C27" s="1303" t="s">
        <v>6</v>
      </c>
      <c r="D27" s="1252" t="s">
        <v>570</v>
      </c>
      <c r="E27" s="16"/>
      <c r="F27" s="38" t="s">
        <v>115</v>
      </c>
      <c r="G27" s="189">
        <v>123700</v>
      </c>
      <c r="H27" s="550">
        <v>14100</v>
      </c>
      <c r="I27" s="1278" t="s">
        <v>1649</v>
      </c>
      <c r="J27" s="189">
        <v>109600</v>
      </c>
      <c r="K27" s="1190" t="s">
        <v>1650</v>
      </c>
      <c r="L27" s="189">
        <v>33000</v>
      </c>
      <c r="M27" s="1190" t="s">
        <v>1570</v>
      </c>
      <c r="N27" s="16"/>
      <c r="O27" s="38" t="s">
        <v>115</v>
      </c>
      <c r="P27" s="416">
        <v>195900</v>
      </c>
      <c r="Q27" s="416"/>
      <c r="R27" s="1193"/>
      <c r="S27" s="16"/>
      <c r="T27" s="38" t="s">
        <v>115</v>
      </c>
      <c r="U27" s="417">
        <v>70900</v>
      </c>
      <c r="V27" s="1190" t="s">
        <v>1311</v>
      </c>
      <c r="W27" s="417">
        <v>125000</v>
      </c>
      <c r="X27" s="1305" t="s">
        <v>1467</v>
      </c>
      <c r="Y27" s="1184" t="s">
        <v>70</v>
      </c>
      <c r="Z27" s="15"/>
      <c r="AA27" s="1225" t="s">
        <v>69</v>
      </c>
      <c r="AD27" s="33" t="str">
        <f>C27&amp;F27</f>
        <v>KoreaLC bn</v>
      </c>
    </row>
    <row r="28" spans="1:30" ht="100" customHeight="1">
      <c r="A28" s="1268"/>
      <c r="B28" s="1268"/>
      <c r="C28" s="1298"/>
      <c r="D28" s="1253"/>
      <c r="E28" s="35"/>
      <c r="F28" s="175" t="s">
        <v>116</v>
      </c>
      <c r="G28" s="418">
        <v>104.83004568682564</v>
      </c>
      <c r="H28" s="172">
        <v>11.949099791303487</v>
      </c>
      <c r="I28" s="1304"/>
      <c r="J28" s="251">
        <v>92.880945895522146</v>
      </c>
      <c r="K28" s="1191"/>
      <c r="L28" s="251">
        <v>27.965978234965611</v>
      </c>
      <c r="M28" s="1191"/>
      <c r="N28" s="35"/>
      <c r="O28" s="175" t="s">
        <v>116</v>
      </c>
      <c r="P28" s="251">
        <v>166.01621624938676</v>
      </c>
      <c r="Q28" s="272"/>
      <c r="R28" s="1196"/>
      <c r="S28" s="35"/>
      <c r="T28" s="175" t="s">
        <v>116</v>
      </c>
      <c r="U28" s="418">
        <v>60.08448051088066</v>
      </c>
      <c r="V28" s="1191"/>
      <c r="W28" s="659">
        <v>105.93173573850609</v>
      </c>
      <c r="X28" s="1185"/>
      <c r="Y28" s="1185"/>
      <c r="AA28" s="1226"/>
      <c r="AD28" s="33" t="str">
        <f>C27&amp;F28</f>
        <v>KoreaUSD bn</v>
      </c>
    </row>
    <row r="29" spans="1:30" ht="278.25" customHeight="1">
      <c r="A29" s="1268"/>
      <c r="B29" s="1268"/>
      <c r="C29" s="1299"/>
      <c r="D29" s="1254"/>
      <c r="E29" s="12"/>
      <c r="F29" s="53" t="s">
        <v>117</v>
      </c>
      <c r="G29" s="173">
        <v>6.3988747084813387</v>
      </c>
      <c r="H29" s="173">
        <v>0.7293786046045827</v>
      </c>
      <c r="I29" s="1280"/>
      <c r="J29" s="252">
        <v>5.6694961038767557</v>
      </c>
      <c r="K29" s="1192"/>
      <c r="L29" s="252">
        <v>1.7070563086490231</v>
      </c>
      <c r="M29" s="1192"/>
      <c r="N29" s="12"/>
      <c r="O29" s="53" t="s">
        <v>117</v>
      </c>
      <c r="P29" s="252">
        <v>10.133706995889202</v>
      </c>
      <c r="Q29" s="273"/>
      <c r="R29" s="1197"/>
      <c r="S29" s="12"/>
      <c r="T29" s="53" t="s">
        <v>117</v>
      </c>
      <c r="U29" s="173">
        <v>3.6675846146429012</v>
      </c>
      <c r="V29" s="1192"/>
      <c r="W29" s="916">
        <v>6.4661223812463007</v>
      </c>
      <c r="X29" s="1186"/>
      <c r="Y29" s="1186"/>
      <c r="Z29" s="52"/>
      <c r="AA29" s="1227"/>
      <c r="AD29" s="33" t="str">
        <f>C27&amp;F29</f>
        <v>Korea% GDP</v>
      </c>
    </row>
    <row r="30" spans="1:30" s="225" customFormat="1" ht="183.65" customHeight="1">
      <c r="A30" s="1268">
        <v>1</v>
      </c>
      <c r="B30" s="1268" t="s">
        <v>858</v>
      </c>
      <c r="C30" s="1301" t="s">
        <v>32</v>
      </c>
      <c r="D30" s="1253" t="s">
        <v>570</v>
      </c>
      <c r="E30" s="224"/>
      <c r="F30" s="38" t="s">
        <v>115</v>
      </c>
      <c r="G30" s="1014">
        <v>94.15</v>
      </c>
      <c r="H30" s="526">
        <v>19.21</v>
      </c>
      <c r="I30" s="1193" t="s">
        <v>1582</v>
      </c>
      <c r="J30" s="177">
        <v>74.94</v>
      </c>
      <c r="K30" s="1190" t="s">
        <v>1581</v>
      </c>
      <c r="L30" s="539">
        <v>4.4999999999999998E-2</v>
      </c>
      <c r="M30" s="1184" t="s">
        <v>1499</v>
      </c>
      <c r="N30" s="224"/>
      <c r="O30" s="175" t="s">
        <v>115</v>
      </c>
      <c r="P30" s="405">
        <v>161.239</v>
      </c>
      <c r="Q30" s="276">
        <v>0.63900000000000001</v>
      </c>
      <c r="R30" s="1184" t="s">
        <v>1309</v>
      </c>
      <c r="S30" s="224"/>
      <c r="T30" s="175" t="s">
        <v>115</v>
      </c>
      <c r="U30" s="255">
        <v>150.6</v>
      </c>
      <c r="V30" s="1184" t="s">
        <v>1500</v>
      </c>
      <c r="W30" s="255">
        <v>10</v>
      </c>
      <c r="X30" s="1184" t="s">
        <v>219</v>
      </c>
      <c r="Y30" s="205"/>
      <c r="Z30" s="224"/>
      <c r="AA30" s="1225" t="s">
        <v>49</v>
      </c>
      <c r="AB30" s="225">
        <f>849+223</f>
        <v>1072</v>
      </c>
      <c r="AD30" s="33" t="str">
        <f>C30&amp;F30</f>
        <v>SpainLC bn</v>
      </c>
    </row>
    <row r="31" spans="1:30" s="55" customFormat="1" ht="145" customHeight="1">
      <c r="A31" s="1268"/>
      <c r="B31" s="1268"/>
      <c r="C31" s="1301"/>
      <c r="D31" s="1253"/>
      <c r="E31" s="225"/>
      <c r="F31" s="175" t="s">
        <v>116</v>
      </c>
      <c r="G31" s="251">
        <v>107.45168705821794</v>
      </c>
      <c r="H31" s="530">
        <v>21.924024518198266</v>
      </c>
      <c r="I31" s="1238"/>
      <c r="J31" s="251">
        <v>85.527662540019676</v>
      </c>
      <c r="K31" s="1238"/>
      <c r="L31" s="258">
        <v>5.1357683670948562E-2</v>
      </c>
      <c r="M31" s="1185"/>
      <c r="N31" s="225"/>
      <c r="O31" s="175" t="s">
        <v>116</v>
      </c>
      <c r="P31" s="406">
        <v>184.01914572044612</v>
      </c>
      <c r="Q31" s="279">
        <v>0.72927910812746966</v>
      </c>
      <c r="R31" s="1185"/>
      <c r="S31" s="225"/>
      <c r="T31" s="175" t="s">
        <v>116</v>
      </c>
      <c r="U31" s="251">
        <v>171.87704801877453</v>
      </c>
      <c r="V31" s="1185"/>
      <c r="W31" s="251">
        <v>11.412818593544126</v>
      </c>
      <c r="X31" s="1185"/>
      <c r="Y31" s="206"/>
      <c r="Z31" s="225"/>
      <c r="AA31" s="1226"/>
      <c r="AD31" s="33" t="str">
        <f>C30&amp;F31</f>
        <v>SpainUSD bn</v>
      </c>
    </row>
    <row r="32" spans="1:30" ht="111.75" customHeight="1">
      <c r="A32" s="1268"/>
      <c r="B32" s="1268"/>
      <c r="C32" s="1299"/>
      <c r="D32" s="1254"/>
      <c r="E32" s="12"/>
      <c r="F32" s="53" t="s">
        <v>117</v>
      </c>
      <c r="G32" s="252">
        <v>8.3916545151825215</v>
      </c>
      <c r="H32" s="533">
        <v>1.7122005654451007</v>
      </c>
      <c r="I32" s="1192"/>
      <c r="J32" s="252">
        <v>6.6794539497374199</v>
      </c>
      <c r="K32" s="1192"/>
      <c r="L32" s="252">
        <v>4.010881074702214E-3</v>
      </c>
      <c r="M32" s="1186"/>
      <c r="N32" s="12"/>
      <c r="O32" s="53" t="s">
        <v>117</v>
      </c>
      <c r="P32" s="410">
        <v>14.371343413420227</v>
      </c>
      <c r="Q32" s="267">
        <v>5.6954511260771438E-2</v>
      </c>
      <c r="R32" s="1186"/>
      <c r="S32" s="12"/>
      <c r="T32" s="53" t="s">
        <v>117</v>
      </c>
      <c r="U32" s="252">
        <v>13.423081996670074</v>
      </c>
      <c r="V32" s="1186"/>
      <c r="W32" s="252">
        <v>0.89130690548938096</v>
      </c>
      <c r="X32" s="1186"/>
      <c r="Y32" s="207"/>
      <c r="Z32" s="52"/>
      <c r="AA32" s="1227"/>
      <c r="AD32" s="33" t="str">
        <f>C30&amp;F32</f>
        <v>Spain% GDP</v>
      </c>
    </row>
    <row r="33" spans="1:30" ht="113.5" customHeight="1">
      <c r="A33" s="1269">
        <v>1</v>
      </c>
      <c r="B33" s="1269" t="s">
        <v>858</v>
      </c>
      <c r="C33" s="1273" t="s">
        <v>7</v>
      </c>
      <c r="D33" s="1277" t="s">
        <v>571</v>
      </c>
      <c r="E33" s="16"/>
      <c r="F33" s="520" t="s">
        <v>115</v>
      </c>
      <c r="G33" s="102">
        <v>407</v>
      </c>
      <c r="H33" s="102">
        <v>102</v>
      </c>
      <c r="I33" s="1302" t="s">
        <v>1673</v>
      </c>
      <c r="J33" s="102">
        <v>305</v>
      </c>
      <c r="K33" s="1270" t="s">
        <v>1672</v>
      </c>
      <c r="L33" s="268">
        <v>12.5</v>
      </c>
      <c r="M33" s="1190" t="s">
        <v>1674</v>
      </c>
      <c r="N33" s="16"/>
      <c r="O33" s="520" t="s">
        <v>115</v>
      </c>
      <c r="P33" s="102">
        <v>353.03</v>
      </c>
      <c r="Q33" s="268">
        <v>1.03</v>
      </c>
      <c r="R33" s="1190" t="s">
        <v>1258</v>
      </c>
      <c r="S33" s="16"/>
      <c r="T33" s="520" t="s">
        <v>115</v>
      </c>
      <c r="U33" s="102">
        <v>352</v>
      </c>
      <c r="V33" s="1190" t="s">
        <v>1680</v>
      </c>
      <c r="W33" s="924"/>
      <c r="X33" s="1184"/>
      <c r="Y33" s="1244" t="s">
        <v>72</v>
      </c>
      <c r="Z33" s="15"/>
      <c r="AA33" s="1235" t="s">
        <v>71</v>
      </c>
      <c r="AD33" s="33" t="str">
        <f>C33&amp;F33</f>
        <v>United KingdomLC bn</v>
      </c>
    </row>
    <row r="34" spans="1:30" ht="175" customHeight="1">
      <c r="A34" s="1269"/>
      <c r="B34" s="1269"/>
      <c r="C34" s="1273"/>
      <c r="D34" s="1277"/>
      <c r="E34" s="6"/>
      <c r="F34" s="520" t="s">
        <v>116</v>
      </c>
      <c r="G34" s="522">
        <v>522.16796884260248</v>
      </c>
      <c r="H34" s="522">
        <v>130.8627342062542</v>
      </c>
      <c r="I34" s="1287"/>
      <c r="J34" s="190">
        <v>391.30523463634825</v>
      </c>
      <c r="K34" s="1219"/>
      <c r="L34" s="269">
        <v>16.03709978017821</v>
      </c>
      <c r="M34" s="1238"/>
      <c r="N34" s="6"/>
      <c r="O34" s="520" t="s">
        <v>116</v>
      </c>
      <c r="P34" s="522">
        <v>452.92618683170508</v>
      </c>
      <c r="Q34" s="269">
        <v>1.3214570218866846</v>
      </c>
      <c r="R34" s="1238"/>
      <c r="S34" s="6"/>
      <c r="T34" s="520" t="s">
        <v>116</v>
      </c>
      <c r="U34" s="522">
        <v>451.60472980981842</v>
      </c>
      <c r="V34" s="1191"/>
      <c r="W34" s="923"/>
      <c r="X34" s="1219"/>
      <c r="Y34" s="1245"/>
      <c r="AA34" s="1236"/>
      <c r="AD34" s="33" t="str">
        <f>C33&amp;F34</f>
        <v>United KingdomUSD bn</v>
      </c>
    </row>
    <row r="35" spans="1:30" s="2" customFormat="1" ht="354" customHeight="1">
      <c r="A35" s="1269"/>
      <c r="B35" s="1269"/>
      <c r="C35" s="1257"/>
      <c r="D35" s="1254"/>
      <c r="E35" s="12"/>
      <c r="F35" s="53" t="s">
        <v>117</v>
      </c>
      <c r="G35" s="17">
        <v>19.27047748644793</v>
      </c>
      <c r="H35" s="17">
        <v>4.8294562742449347</v>
      </c>
      <c r="I35" s="1222"/>
      <c r="J35" s="925">
        <v>14.441021212202996</v>
      </c>
      <c r="K35" s="1186"/>
      <c r="L35" s="925">
        <v>0.59184513164766361</v>
      </c>
      <c r="M35" s="1192"/>
      <c r="N35" s="12"/>
      <c r="O35" s="53" t="s">
        <v>117</v>
      </c>
      <c r="P35" s="17">
        <v>16.715126946045974</v>
      </c>
      <c r="Q35" s="267">
        <v>4.8768038847767488E-2</v>
      </c>
      <c r="R35" s="1192"/>
      <c r="S35" s="12"/>
      <c r="T35" s="53" t="s">
        <v>117</v>
      </c>
      <c r="U35" s="17">
        <v>16.666358907198209</v>
      </c>
      <c r="V35" s="1192"/>
      <c r="W35" s="920"/>
      <c r="X35" s="1186"/>
      <c r="Y35" s="1246"/>
      <c r="Z35" s="52"/>
      <c r="AA35" s="1237"/>
      <c r="AD35" s="33" t="str">
        <f>C33&amp;F35</f>
        <v>United Kingdom% GDP</v>
      </c>
    </row>
    <row r="36" spans="1:30" s="229" customFormat="1" ht="234" customHeight="1">
      <c r="A36" s="1269">
        <v>1</v>
      </c>
      <c r="B36" s="1269" t="s">
        <v>858</v>
      </c>
      <c r="C36" s="1255" t="s">
        <v>8</v>
      </c>
      <c r="D36" s="1252" t="s">
        <v>571</v>
      </c>
      <c r="E36" s="16"/>
      <c r="F36" s="38" t="s">
        <v>115</v>
      </c>
      <c r="G36" s="416">
        <v>5328.3</v>
      </c>
      <c r="H36" s="102">
        <v>687.3</v>
      </c>
      <c r="I36" s="1302" t="s">
        <v>1524</v>
      </c>
      <c r="J36" s="416">
        <v>4641</v>
      </c>
      <c r="K36" s="1184" t="s">
        <v>1624</v>
      </c>
      <c r="L36" s="177">
        <v>17.98</v>
      </c>
      <c r="M36" s="1184" t="s">
        <v>1259</v>
      </c>
      <c r="N36" s="16"/>
      <c r="O36" s="38" t="s">
        <v>115</v>
      </c>
      <c r="P36" s="496">
        <v>510</v>
      </c>
      <c r="Q36" s="471">
        <v>56</v>
      </c>
      <c r="R36" s="1190" t="s">
        <v>608</v>
      </c>
      <c r="S36" s="16"/>
      <c r="T36" s="38" t="s">
        <v>115</v>
      </c>
      <c r="U36" s="102">
        <v>454</v>
      </c>
      <c r="V36" s="1184" t="s">
        <v>275</v>
      </c>
      <c r="W36" s="1059"/>
      <c r="X36" s="1059"/>
      <c r="Y36" s="1184" t="s">
        <v>73</v>
      </c>
      <c r="Z36" s="15"/>
      <c r="AA36" s="22"/>
      <c r="AD36" s="352" t="str">
        <f>C36&amp;F36</f>
        <v>United StatesLC bn</v>
      </c>
    </row>
    <row r="37" spans="1:30" s="352" customFormat="1" ht="166.5" customHeight="1">
      <c r="A37" s="1269"/>
      <c r="B37" s="1269"/>
      <c r="C37" s="1273"/>
      <c r="D37" s="1277"/>
      <c r="E37" s="6"/>
      <c r="F37" s="520" t="s">
        <v>116</v>
      </c>
      <c r="G37" s="103">
        <v>5328.3</v>
      </c>
      <c r="H37" s="103">
        <v>687.3</v>
      </c>
      <c r="I37" s="1287"/>
      <c r="J37" s="103">
        <v>4641</v>
      </c>
      <c r="K37" s="1219"/>
      <c r="L37" s="103">
        <v>17.98</v>
      </c>
      <c r="M37" s="1219"/>
      <c r="N37" s="6"/>
      <c r="O37" s="520" t="s">
        <v>116</v>
      </c>
      <c r="P37" s="927">
        <v>510</v>
      </c>
      <c r="Q37" s="103">
        <v>56</v>
      </c>
      <c r="R37" s="1238"/>
      <c r="S37" s="6"/>
      <c r="T37" s="520" t="s">
        <v>116</v>
      </c>
      <c r="U37" s="103">
        <v>454</v>
      </c>
      <c r="V37" s="1219"/>
      <c r="W37" s="1065"/>
      <c r="X37" s="1065"/>
      <c r="Y37" s="1219"/>
      <c r="Z37" s="3"/>
      <c r="AA37" s="1063"/>
      <c r="AD37" s="352" t="str">
        <f>C36&amp;F37</f>
        <v>United StatesUSD bn</v>
      </c>
    </row>
    <row r="38" spans="1:30" s="352" customFormat="1" ht="409.5" customHeight="1">
      <c r="A38" s="1269"/>
      <c r="B38" s="1269"/>
      <c r="C38" s="1257"/>
      <c r="D38" s="1254"/>
      <c r="E38" s="12"/>
      <c r="F38" s="53" t="s">
        <v>117</v>
      </c>
      <c r="G38" s="17">
        <v>25.501884534848941</v>
      </c>
      <c r="H38" s="17">
        <v>3.2895004486987736</v>
      </c>
      <c r="I38" s="1222"/>
      <c r="J38" s="17">
        <v>22.212384086150163</v>
      </c>
      <c r="K38" s="1186"/>
      <c r="L38" s="17">
        <v>8.6054442117858218E-2</v>
      </c>
      <c r="M38" s="1186"/>
      <c r="N38" s="12"/>
      <c r="O38" s="53" t="s">
        <v>117</v>
      </c>
      <c r="P38" s="499">
        <v>2.4409213281483697</v>
      </c>
      <c r="Q38" s="17">
        <v>0.26802273407119354</v>
      </c>
      <c r="R38" s="1192"/>
      <c r="S38" s="12"/>
      <c r="T38" s="53" t="s">
        <v>117</v>
      </c>
      <c r="U38" s="17">
        <v>2.1728985940771763</v>
      </c>
      <c r="V38" s="1186"/>
      <c r="W38" s="1060"/>
      <c r="X38" s="1060"/>
      <c r="Y38" s="1186"/>
      <c r="Z38" s="52"/>
      <c r="AA38" s="1064"/>
      <c r="AD38" s="352" t="str">
        <f>C36&amp;F38</f>
        <v>United States% GDP</v>
      </c>
    </row>
    <row r="39" spans="1:30" s="352" customFormat="1" ht="139.5" customHeight="1">
      <c r="A39" s="1269">
        <v>1</v>
      </c>
      <c r="B39" s="1269" t="s">
        <v>861</v>
      </c>
      <c r="C39" s="1273" t="s">
        <v>9</v>
      </c>
      <c r="D39" s="1277" t="s">
        <v>571</v>
      </c>
      <c r="E39" s="6"/>
      <c r="F39" s="520" t="s">
        <v>115</v>
      </c>
      <c r="G39" s="934">
        <v>1470.1</v>
      </c>
      <c r="H39" s="522">
        <v>348.6</v>
      </c>
      <c r="I39" s="1311" t="s">
        <v>1675</v>
      </c>
      <c r="J39" s="522">
        <v>1121.5</v>
      </c>
      <c r="K39" s="1258" t="s">
        <v>1683</v>
      </c>
      <c r="L39" s="522">
        <v>10</v>
      </c>
      <c r="M39" s="1190" t="s">
        <v>1492</v>
      </c>
      <c r="N39" s="6"/>
      <c r="O39" s="520" t="s">
        <v>115</v>
      </c>
      <c r="P39" s="522">
        <v>703.3</v>
      </c>
      <c r="Q39" s="515">
        <v>70.3</v>
      </c>
      <c r="R39" s="1190" t="s">
        <v>1676</v>
      </c>
      <c r="S39" s="6"/>
      <c r="T39" s="520" t="s">
        <v>115</v>
      </c>
      <c r="U39" s="926">
        <v>633</v>
      </c>
      <c r="V39" s="1190" t="s">
        <v>1677</v>
      </c>
      <c r="W39" s="1065"/>
      <c r="X39" s="1184"/>
      <c r="Y39" s="1070"/>
      <c r="Z39" s="3"/>
      <c r="AA39" s="1070"/>
      <c r="AD39" s="352" t="str">
        <f>C39&amp;F39</f>
        <v>ArgentinaLC bn</v>
      </c>
    </row>
    <row r="40" spans="1:30" s="352" customFormat="1" ht="139.5" customHeight="1">
      <c r="A40" s="1269"/>
      <c r="B40" s="1269"/>
      <c r="C40" s="1273"/>
      <c r="D40" s="1277"/>
      <c r="E40" s="6"/>
      <c r="F40" s="520" t="s">
        <v>116</v>
      </c>
      <c r="G40" s="103">
        <v>20.812695929621835</v>
      </c>
      <c r="H40" s="103">
        <v>4.9352464465452508</v>
      </c>
      <c r="I40" s="1279"/>
      <c r="J40" s="103">
        <v>15.877449483076587</v>
      </c>
      <c r="K40" s="1238"/>
      <c r="L40" s="82">
        <v>0.14157333466853844</v>
      </c>
      <c r="M40" s="1238"/>
      <c r="N40" s="6"/>
      <c r="O40" s="520" t="s">
        <v>116</v>
      </c>
      <c r="P40" s="103">
        <v>9.9568526272383089</v>
      </c>
      <c r="Q40" s="269">
        <v>0.99526054271982523</v>
      </c>
      <c r="R40" s="1238"/>
      <c r="S40" s="6"/>
      <c r="T40" s="520" t="s">
        <v>116</v>
      </c>
      <c r="U40" s="103">
        <v>8.9615920845184842</v>
      </c>
      <c r="V40" s="1238"/>
      <c r="W40" s="1065"/>
      <c r="X40" s="1219"/>
      <c r="Y40" s="1065" t="s">
        <v>152</v>
      </c>
      <c r="Z40" s="3"/>
      <c r="AA40" s="1063"/>
      <c r="AD40" s="352" t="str">
        <f>C39&amp;F40</f>
        <v>ArgentinaUSD bn</v>
      </c>
    </row>
    <row r="41" spans="1:30" s="352" customFormat="1" ht="174" customHeight="1">
      <c r="A41" s="1269"/>
      <c r="B41" s="1269"/>
      <c r="C41" s="1257"/>
      <c r="D41" s="1254"/>
      <c r="E41" s="12"/>
      <c r="F41" s="53" t="s">
        <v>117</v>
      </c>
      <c r="G41" s="17">
        <v>5.3494285646507498</v>
      </c>
      <c r="H41" s="17">
        <v>1.2684924818973211</v>
      </c>
      <c r="I41" s="1280"/>
      <c r="J41" s="17">
        <v>4.0809360827534293</v>
      </c>
      <c r="K41" s="1192"/>
      <c r="L41" s="17">
        <v>3.6388195120405073E-2</v>
      </c>
      <c r="M41" s="1192"/>
      <c r="N41" s="12"/>
      <c r="O41" s="53" t="s">
        <v>117</v>
      </c>
      <c r="P41" s="17">
        <v>2.5591817628180888</v>
      </c>
      <c r="Q41" s="267">
        <v>0.25580901169644765</v>
      </c>
      <c r="R41" s="1192"/>
      <c r="S41" s="12"/>
      <c r="T41" s="53" t="s">
        <v>117</v>
      </c>
      <c r="U41" s="17">
        <v>2.3033727511216413</v>
      </c>
      <c r="V41" s="1192"/>
      <c r="W41" s="1060"/>
      <c r="X41" s="1186"/>
      <c r="Y41" s="1060"/>
      <c r="Z41" s="52"/>
      <c r="AA41" s="1064"/>
      <c r="AD41" s="352" t="str">
        <f>C39&amp;F41</f>
        <v>Argentina% GDP</v>
      </c>
    </row>
    <row r="42" spans="1:30" ht="121.5" customHeight="1">
      <c r="A42" s="1268">
        <v>1</v>
      </c>
      <c r="B42" s="1268" t="s">
        <v>861</v>
      </c>
      <c r="C42" s="1298" t="s">
        <v>10</v>
      </c>
      <c r="D42" s="1253" t="s">
        <v>570</v>
      </c>
      <c r="E42" s="16"/>
      <c r="F42" s="175" t="s">
        <v>115</v>
      </c>
      <c r="G42" s="253">
        <v>687.9</v>
      </c>
      <c r="H42" s="102">
        <v>108.8</v>
      </c>
      <c r="I42" s="1302" t="s">
        <v>1546</v>
      </c>
      <c r="J42" s="102">
        <v>579.1</v>
      </c>
      <c r="K42" s="1193" t="s">
        <v>1553</v>
      </c>
      <c r="L42" s="102">
        <v>229.60000000000002</v>
      </c>
      <c r="M42" s="1190" t="s">
        <v>1547</v>
      </c>
      <c r="N42" s="16"/>
      <c r="O42" s="175" t="s">
        <v>115</v>
      </c>
      <c r="P42" s="102">
        <v>458.1</v>
      </c>
      <c r="Q42" s="270">
        <v>79.900000000000006</v>
      </c>
      <c r="R42" s="1193" t="s">
        <v>1433</v>
      </c>
      <c r="S42" s="534"/>
      <c r="T42" s="506" t="s">
        <v>115</v>
      </c>
      <c r="U42" s="253"/>
      <c r="V42" s="1193" t="s">
        <v>711</v>
      </c>
      <c r="W42" s="122">
        <v>378.2</v>
      </c>
      <c r="X42" s="1193" t="s">
        <v>1329</v>
      </c>
      <c r="Y42" s="1184" t="s">
        <v>75</v>
      </c>
      <c r="Z42" s="15"/>
      <c r="AA42" s="22"/>
      <c r="AD42" s="33" t="str">
        <f>C42&amp;F42</f>
        <v>BrazilLC bn</v>
      </c>
    </row>
    <row r="43" spans="1:30" ht="157" customHeight="1">
      <c r="A43" s="1268"/>
      <c r="B43" s="1268"/>
      <c r="C43" s="1298"/>
      <c r="D43" s="1253"/>
      <c r="E43" s="35"/>
      <c r="F43" s="175" t="s">
        <v>116</v>
      </c>
      <c r="G43" s="251">
        <v>133.43721913654085</v>
      </c>
      <c r="H43" s="251">
        <v>21.104767323819807</v>
      </c>
      <c r="I43" s="1221"/>
      <c r="J43" s="251">
        <v>112.33245181272106</v>
      </c>
      <c r="K43" s="1196"/>
      <c r="L43" s="251">
        <v>44.537266337766802</v>
      </c>
      <c r="M43" s="1191"/>
      <c r="N43" s="35"/>
      <c r="O43" s="175" t="s">
        <v>116</v>
      </c>
      <c r="P43" s="103">
        <v>88.861157270605275</v>
      </c>
      <c r="Q43" s="266">
        <v>15.498813503430172</v>
      </c>
      <c r="R43" s="1196"/>
      <c r="S43" s="509"/>
      <c r="T43" s="506" t="s">
        <v>116</v>
      </c>
      <c r="U43" s="258"/>
      <c r="V43" s="1196"/>
      <c r="W43" s="251">
        <v>73.362343767175105</v>
      </c>
      <c r="X43" s="1196"/>
      <c r="Y43" s="1185"/>
      <c r="AA43" s="219"/>
      <c r="AD43" s="33" t="str">
        <f>C42&amp;F43</f>
        <v>BrazilUSD bn</v>
      </c>
    </row>
    <row r="44" spans="1:30" ht="210" customHeight="1">
      <c r="A44" s="1268"/>
      <c r="B44" s="1268"/>
      <c r="C44" s="1299"/>
      <c r="D44" s="1254"/>
      <c r="E44" s="35"/>
      <c r="F44" s="175" t="s">
        <v>117</v>
      </c>
      <c r="G44" s="258">
        <v>9.2362126130761357</v>
      </c>
      <c r="H44" s="252">
        <v>1.460822695599191</v>
      </c>
      <c r="I44" s="1222"/>
      <c r="J44" s="252">
        <v>7.7753899174769447</v>
      </c>
      <c r="K44" s="1197"/>
      <c r="L44" s="252">
        <v>3.0827655414482935</v>
      </c>
      <c r="M44" s="1192"/>
      <c r="N44" s="35"/>
      <c r="O44" s="175" t="s">
        <v>117</v>
      </c>
      <c r="P44" s="82">
        <v>6.1507617357903444</v>
      </c>
      <c r="Q44" s="269">
        <v>1.0727916670806561</v>
      </c>
      <c r="R44" s="1197"/>
      <c r="S44" s="509"/>
      <c r="T44" s="506" t="s">
        <v>117</v>
      </c>
      <c r="U44" s="258"/>
      <c r="V44" s="1197"/>
      <c r="W44" s="252">
        <v>5.0779700687096874</v>
      </c>
      <c r="X44" s="1197"/>
      <c r="Y44" s="1186"/>
      <c r="AA44" s="219"/>
      <c r="AD44" s="33" t="str">
        <f>C42&amp;F44</f>
        <v>Brazil% GDP</v>
      </c>
    </row>
    <row r="45" spans="1:30" s="224" customFormat="1" ht="137.5" customHeight="1">
      <c r="A45" s="1268">
        <v>1</v>
      </c>
      <c r="B45" s="1268" t="s">
        <v>861</v>
      </c>
      <c r="C45" s="1298" t="s">
        <v>11</v>
      </c>
      <c r="D45" s="1253" t="s">
        <v>570</v>
      </c>
      <c r="E45" s="245"/>
      <c r="F45" s="38" t="s">
        <v>115</v>
      </c>
      <c r="G45" s="186">
        <v>4904</v>
      </c>
      <c r="H45" s="526">
        <v>147</v>
      </c>
      <c r="I45" s="1220" t="s">
        <v>618</v>
      </c>
      <c r="J45" s="186">
        <v>4757</v>
      </c>
      <c r="K45" s="1190" t="s">
        <v>1643</v>
      </c>
      <c r="L45" s="186">
        <v>1600</v>
      </c>
      <c r="M45" s="1190" t="s">
        <v>1260</v>
      </c>
      <c r="N45" s="245"/>
      <c r="O45" s="38" t="s">
        <v>115</v>
      </c>
      <c r="P45" s="496">
        <v>1330</v>
      </c>
      <c r="Q45" s="274">
        <v>0</v>
      </c>
      <c r="R45" s="1184" t="s">
        <v>1221</v>
      </c>
      <c r="S45" s="245"/>
      <c r="T45" s="38" t="s">
        <v>115</v>
      </c>
      <c r="U45" s="255">
        <v>400</v>
      </c>
      <c r="V45" s="1193" t="s">
        <v>944</v>
      </c>
      <c r="W45" s="658">
        <v>930</v>
      </c>
      <c r="X45" s="1190" t="s">
        <v>1461</v>
      </c>
      <c r="Y45" s="1184" t="s">
        <v>76</v>
      </c>
      <c r="AA45" s="205"/>
      <c r="AD45" s="33" t="str">
        <f>C45&amp;F45</f>
        <v>ChinaLC bn</v>
      </c>
    </row>
    <row r="46" spans="1:30" ht="137.5" customHeight="1">
      <c r="A46" s="1268"/>
      <c r="B46" s="1268"/>
      <c r="C46" s="1298"/>
      <c r="D46" s="1253"/>
      <c r="E46" s="35"/>
      <c r="F46" s="175" t="s">
        <v>116</v>
      </c>
      <c r="G46" s="251">
        <v>710.64739339926814</v>
      </c>
      <c r="H46" s="251">
        <v>21.302032387783935</v>
      </c>
      <c r="I46" s="1221"/>
      <c r="J46" s="251">
        <v>689.34536101148421</v>
      </c>
      <c r="K46" s="1238"/>
      <c r="L46" s="251">
        <v>231.8588559214578</v>
      </c>
      <c r="M46" s="1238"/>
      <c r="N46" s="35"/>
      <c r="O46" s="175" t="s">
        <v>116</v>
      </c>
      <c r="P46" s="497">
        <v>192.73267398471179</v>
      </c>
      <c r="Q46" s="266"/>
      <c r="R46" s="1219"/>
      <c r="S46" s="35"/>
      <c r="T46" s="175" t="s">
        <v>116</v>
      </c>
      <c r="U46" s="251">
        <v>57.964713980364451</v>
      </c>
      <c r="V46" s="1196"/>
      <c r="W46" s="118">
        <v>134.76796000434734</v>
      </c>
      <c r="X46" s="1191"/>
      <c r="Y46" s="1185"/>
      <c r="AA46" s="219"/>
      <c r="AD46" s="33" t="str">
        <f>C45&amp;F46</f>
        <v>ChinaUSD bn</v>
      </c>
    </row>
    <row r="47" spans="1:30" ht="101.25" customHeight="1">
      <c r="A47" s="1268"/>
      <c r="B47" s="1268"/>
      <c r="C47" s="1299"/>
      <c r="D47" s="1254"/>
      <c r="E47" s="12"/>
      <c r="F47" s="53" t="s">
        <v>117</v>
      </c>
      <c r="G47" s="252">
        <v>4.7801156546253365</v>
      </c>
      <c r="H47" s="252">
        <v>0.14328650106646096</v>
      </c>
      <c r="I47" s="1222"/>
      <c r="J47" s="252">
        <v>4.6368291535588764</v>
      </c>
      <c r="K47" s="1192"/>
      <c r="L47" s="252">
        <v>1.5595809639886906</v>
      </c>
      <c r="M47" s="1192"/>
      <c r="N47" s="12"/>
      <c r="O47" s="53" t="s">
        <v>117</v>
      </c>
      <c r="P47" s="499">
        <v>1.296401676315599</v>
      </c>
      <c r="Q47" s="267"/>
      <c r="R47" s="1186"/>
      <c r="S47" s="12"/>
      <c r="T47" s="53" t="s">
        <v>117</v>
      </c>
      <c r="U47" s="252">
        <v>0.38989524099717265</v>
      </c>
      <c r="V47" s="1197"/>
      <c r="W47" s="657">
        <v>0.90650643531842645</v>
      </c>
      <c r="X47" s="1192"/>
      <c r="Y47" s="1185"/>
      <c r="AA47" s="219"/>
      <c r="AD47" s="33" t="str">
        <f>C45&amp;F47</f>
        <v>China% GDP</v>
      </c>
    </row>
    <row r="48" spans="1:30" s="224" customFormat="1" ht="138.65" customHeight="1">
      <c r="A48" s="1268">
        <v>1</v>
      </c>
      <c r="B48" s="1268" t="s">
        <v>861</v>
      </c>
      <c r="C48" s="1256" t="s">
        <v>12</v>
      </c>
      <c r="D48" s="1253" t="s">
        <v>571</v>
      </c>
      <c r="F48" s="38" t="s">
        <v>115</v>
      </c>
      <c r="G48" s="186">
        <v>8084.4400000000005</v>
      </c>
      <c r="H48" s="526">
        <v>1041.23</v>
      </c>
      <c r="I48" s="1184" t="s">
        <v>1644</v>
      </c>
      <c r="J48" s="186">
        <v>7043.21</v>
      </c>
      <c r="K48" s="1258" t="s">
        <v>1571</v>
      </c>
      <c r="L48" s="519">
        <v>1340</v>
      </c>
      <c r="M48" s="1190" t="s">
        <v>1645</v>
      </c>
      <c r="O48" s="38" t="s">
        <v>115</v>
      </c>
      <c r="P48" s="186">
        <v>12291</v>
      </c>
      <c r="Q48" s="519">
        <v>641</v>
      </c>
      <c r="R48" s="1184" t="s">
        <v>1332</v>
      </c>
      <c r="T48" s="38" t="s">
        <v>115</v>
      </c>
      <c r="U48" s="185">
        <v>10450</v>
      </c>
      <c r="V48" s="1190" t="s">
        <v>1646</v>
      </c>
      <c r="W48" s="519">
        <v>1200</v>
      </c>
      <c r="X48" s="1184" t="s">
        <v>1525</v>
      </c>
      <c r="Y48" s="205"/>
      <c r="AA48" s="1225" t="s">
        <v>57</v>
      </c>
      <c r="AD48" s="33" t="str">
        <f>C48&amp;F48</f>
        <v>IndiaLC bn</v>
      </c>
    </row>
    <row r="49" spans="1:30" s="225" customFormat="1" ht="170.5" customHeight="1">
      <c r="A49" s="1268"/>
      <c r="B49" s="1268"/>
      <c r="C49" s="1256"/>
      <c r="D49" s="1253"/>
      <c r="F49" s="175" t="s">
        <v>116</v>
      </c>
      <c r="G49" s="251">
        <v>108.91796310307309</v>
      </c>
      <c r="H49" s="258">
        <v>14.028015635197093</v>
      </c>
      <c r="I49" s="1185"/>
      <c r="J49" s="251">
        <v>94.889947467875984</v>
      </c>
      <c r="K49" s="1238"/>
      <c r="L49" s="258">
        <v>18.05320721758315</v>
      </c>
      <c r="M49" s="1191"/>
      <c r="O49" s="175" t="s">
        <v>116</v>
      </c>
      <c r="P49" s="266">
        <v>165.59102232187649</v>
      </c>
      <c r="Q49" s="269">
        <v>8.6358998705005963</v>
      </c>
      <c r="R49" s="1185"/>
      <c r="T49" s="175" t="s">
        <v>116</v>
      </c>
      <c r="U49" s="266">
        <v>140.78807121174921</v>
      </c>
      <c r="V49" s="1191"/>
      <c r="W49" s="266">
        <v>16.167051239626701</v>
      </c>
      <c r="X49" s="1185"/>
      <c r="Y49" s="206"/>
      <c r="AA49" s="1226"/>
      <c r="AD49" s="33" t="str">
        <f>C48&amp;F49</f>
        <v>IndiaUSD bn</v>
      </c>
    </row>
    <row r="50" spans="1:30" ht="198" customHeight="1">
      <c r="A50" s="1268"/>
      <c r="B50" s="1268"/>
      <c r="C50" s="1257"/>
      <c r="D50" s="1254"/>
      <c r="E50" s="35"/>
      <c r="F50" s="175" t="s">
        <v>117</v>
      </c>
      <c r="G50" s="258">
        <v>4.0942849748831005</v>
      </c>
      <c r="H50" s="173">
        <v>0.52732067334256061</v>
      </c>
      <c r="I50" s="1186"/>
      <c r="J50" s="173">
        <v>3.5669643015405401</v>
      </c>
      <c r="K50" s="1192"/>
      <c r="L50" s="173">
        <v>0.67862979579826865</v>
      </c>
      <c r="M50" s="1192"/>
      <c r="N50" s="35"/>
      <c r="O50" s="175" t="s">
        <v>117</v>
      </c>
      <c r="P50" s="173">
        <v>6.2246558359377016</v>
      </c>
      <c r="Q50" s="173">
        <v>0.32462813366170912</v>
      </c>
      <c r="R50" s="1186"/>
      <c r="S50" s="35"/>
      <c r="T50" s="175" t="s">
        <v>117</v>
      </c>
      <c r="U50" s="173">
        <v>5.2922995269342588</v>
      </c>
      <c r="V50" s="1192"/>
      <c r="W50" s="173">
        <v>0.60772817534173318</v>
      </c>
      <c r="X50" s="1186"/>
      <c r="Y50" s="206"/>
      <c r="AA50" s="1227"/>
      <c r="AD50" s="33" t="str">
        <f>C48&amp;F50</f>
        <v>India% GDP</v>
      </c>
    </row>
    <row r="51" spans="1:30" s="224" customFormat="1" ht="82.5" customHeight="1">
      <c r="A51" s="1268">
        <v>1</v>
      </c>
      <c r="B51" s="1268" t="s">
        <v>861</v>
      </c>
      <c r="C51" s="1256" t="s">
        <v>13</v>
      </c>
      <c r="D51" s="1253" t="s">
        <v>571</v>
      </c>
      <c r="F51" s="38" t="s">
        <v>115</v>
      </c>
      <c r="G51" s="186">
        <v>1439950</v>
      </c>
      <c r="H51" s="474">
        <v>314450</v>
      </c>
      <c r="I51" s="1184" t="s">
        <v>1640</v>
      </c>
      <c r="J51" s="474">
        <v>1125500</v>
      </c>
      <c r="K51" s="1193" t="s">
        <v>1641</v>
      </c>
      <c r="L51" s="292"/>
      <c r="M51" s="1190" t="s">
        <v>1261</v>
      </c>
      <c r="O51" s="38" t="s">
        <v>115</v>
      </c>
      <c r="P51" s="475">
        <v>135150</v>
      </c>
      <c r="Q51" s="282">
        <v>35150</v>
      </c>
      <c r="R51" s="1193" t="s">
        <v>1255</v>
      </c>
      <c r="T51" s="38" t="s">
        <v>115</v>
      </c>
      <c r="U51" s="282">
        <v>100000</v>
      </c>
      <c r="V51" s="1190" t="s">
        <v>1303</v>
      </c>
      <c r="W51" s="536"/>
      <c r="X51" s="298"/>
      <c r="Y51" s="205"/>
      <c r="AA51" s="205"/>
      <c r="AD51" s="33" t="str">
        <f>C51&amp;F51</f>
        <v>IndonesiaLC bn</v>
      </c>
    </row>
    <row r="52" spans="1:30" s="225" customFormat="1" ht="74.150000000000006" customHeight="1">
      <c r="A52" s="1268"/>
      <c r="B52" s="1268"/>
      <c r="C52" s="1256"/>
      <c r="D52" s="1253"/>
      <c r="F52" s="175" t="s">
        <v>116</v>
      </c>
      <c r="G52" s="251">
        <v>98.860320620644671</v>
      </c>
      <c r="H52" s="258">
        <v>21.588685592667606</v>
      </c>
      <c r="I52" s="1185"/>
      <c r="J52" s="418">
        <v>77.271635027977069</v>
      </c>
      <c r="K52" s="1196"/>
      <c r="L52" s="293"/>
      <c r="M52" s="1191"/>
      <c r="O52" s="175" t="s">
        <v>116</v>
      </c>
      <c r="P52" s="251">
        <v>9.2787751879441149</v>
      </c>
      <c r="Q52" s="279">
        <v>2.4132367580927534</v>
      </c>
      <c r="R52" s="1290"/>
      <c r="T52" s="175" t="s">
        <v>116</v>
      </c>
      <c r="U52" s="272">
        <v>6.8655384298513615</v>
      </c>
      <c r="V52" s="1191"/>
      <c r="W52" s="537"/>
      <c r="X52" s="535"/>
      <c r="Y52" s="206"/>
      <c r="AA52" s="206"/>
      <c r="AD52" s="33" t="str">
        <f>C51&amp;F52</f>
        <v>IndonesiaUSD bn</v>
      </c>
    </row>
    <row r="53" spans="1:30" s="2" customFormat="1" ht="63" customHeight="1">
      <c r="A53" s="1268"/>
      <c r="B53" s="1268"/>
      <c r="C53" s="1257"/>
      <c r="D53" s="1254"/>
      <c r="E53" s="12"/>
      <c r="F53" s="53" t="s">
        <v>117</v>
      </c>
      <c r="G53" s="252">
        <v>9.3296348167315557</v>
      </c>
      <c r="H53" s="252">
        <v>2.037364955811825</v>
      </c>
      <c r="I53" s="1186"/>
      <c r="J53" s="173">
        <v>7.2922698609197294</v>
      </c>
      <c r="K53" s="1197"/>
      <c r="L53" s="294"/>
      <c r="M53" s="1192"/>
      <c r="N53" s="12"/>
      <c r="O53" s="53" t="s">
        <v>117</v>
      </c>
      <c r="P53" s="252">
        <v>0.87565550573371964</v>
      </c>
      <c r="Q53" s="273">
        <v>0.22774170200917679</v>
      </c>
      <c r="R53" s="1291"/>
      <c r="S53" s="12"/>
      <c r="T53" s="53" t="s">
        <v>117</v>
      </c>
      <c r="U53" s="273">
        <v>0.64791380372454288</v>
      </c>
      <c r="V53" s="1192"/>
      <c r="W53" s="538"/>
      <c r="X53" s="299"/>
      <c r="Y53" s="192" t="s">
        <v>296</v>
      </c>
      <c r="Z53" s="52"/>
      <c r="AA53" s="220"/>
      <c r="AD53" s="33" t="str">
        <f>C51&amp;F53</f>
        <v>Indonesia% GDP</v>
      </c>
    </row>
    <row r="54" spans="1:30" s="37" customFormat="1" ht="58.5" customHeight="1">
      <c r="A54" s="1268">
        <v>1</v>
      </c>
      <c r="B54" s="1268" t="s">
        <v>861</v>
      </c>
      <c r="C54" s="1256" t="s">
        <v>14</v>
      </c>
      <c r="D54" s="1253" t="s">
        <v>572</v>
      </c>
      <c r="F54" s="175" t="s">
        <v>115</v>
      </c>
      <c r="G54" s="257">
        <v>151</v>
      </c>
      <c r="H54" s="1021">
        <v>103.2</v>
      </c>
      <c r="I54" s="1288" t="s">
        <v>1488</v>
      </c>
      <c r="J54" s="118">
        <v>47.8</v>
      </c>
      <c r="K54" s="1289" t="s">
        <v>1489</v>
      </c>
      <c r="L54" s="118">
        <v>92</v>
      </c>
      <c r="M54" s="1190" t="s">
        <v>1639</v>
      </c>
      <c r="O54" s="175" t="s">
        <v>115</v>
      </c>
      <c r="P54" s="118">
        <v>288.2</v>
      </c>
      <c r="Q54" s="265">
        <v>19.2</v>
      </c>
      <c r="R54" s="1184" t="s">
        <v>1490</v>
      </c>
      <c r="T54" s="175" t="s">
        <v>115</v>
      </c>
      <c r="U54" s="936">
        <v>6</v>
      </c>
      <c r="V54" s="206" t="s">
        <v>1435</v>
      </c>
      <c r="W54" s="265">
        <v>263</v>
      </c>
      <c r="X54" s="1295" t="s">
        <v>1491</v>
      </c>
      <c r="Y54" s="1184" t="s">
        <v>77</v>
      </c>
      <c r="AA54" s="1292" t="s">
        <v>1437</v>
      </c>
      <c r="AD54" s="33" t="str">
        <f>C54&amp;F54</f>
        <v>MexicoLC bn</v>
      </c>
    </row>
    <row r="55" spans="1:30" s="37" customFormat="1" ht="58.5" customHeight="1">
      <c r="A55" s="1268"/>
      <c r="B55" s="1268"/>
      <c r="C55" s="1256"/>
      <c r="D55" s="1253"/>
      <c r="F55" s="175" t="s">
        <v>116</v>
      </c>
      <c r="G55" s="258">
        <v>7.0279601888550927</v>
      </c>
      <c r="H55" s="258">
        <v>4.8032151754294405</v>
      </c>
      <c r="I55" s="1247"/>
      <c r="J55" s="258">
        <v>2.2247450134256517</v>
      </c>
      <c r="K55" s="1191"/>
      <c r="L55" s="258">
        <v>4.2819360091037648</v>
      </c>
      <c r="M55" s="1191"/>
      <c r="O55" s="175" t="s">
        <v>116</v>
      </c>
      <c r="P55" s="258">
        <v>13.41362997634462</v>
      </c>
      <c r="Q55" s="258">
        <v>0.89362142798687272</v>
      </c>
      <c r="R55" s="1219"/>
      <c r="T55" s="175" t="s">
        <v>116</v>
      </c>
      <c r="U55" s="966">
        <v>0.27925669624589772</v>
      </c>
      <c r="V55" s="206"/>
      <c r="W55" s="258">
        <v>12.240751852111851</v>
      </c>
      <c r="X55" s="1296"/>
      <c r="Y55" s="1185"/>
      <c r="AA55" s="1293"/>
      <c r="AD55" s="33" t="str">
        <f>C54&amp;F55</f>
        <v>MexicoUSD bn</v>
      </c>
    </row>
    <row r="56" spans="1:30" s="61" customFormat="1" ht="58.5" customHeight="1">
      <c r="A56" s="1268"/>
      <c r="B56" s="1268"/>
      <c r="C56" s="1257"/>
      <c r="D56" s="1254"/>
      <c r="F56" s="53" t="s">
        <v>117</v>
      </c>
      <c r="G56" s="252">
        <v>0.65442396745349374</v>
      </c>
      <c r="H56" s="252">
        <v>0.44726194331920904</v>
      </c>
      <c r="I56" s="1248"/>
      <c r="J56" s="252">
        <v>0.20716202413428478</v>
      </c>
      <c r="K56" s="1192"/>
      <c r="L56" s="252">
        <v>0.39872188745510878</v>
      </c>
      <c r="M56" s="1192"/>
      <c r="O56" s="53" t="s">
        <v>117</v>
      </c>
      <c r="P56" s="252">
        <v>1.2490396517887212</v>
      </c>
      <c r="Q56" s="252">
        <v>8.3211524338457493E-2</v>
      </c>
      <c r="R56" s="1186"/>
      <c r="T56" s="53" t="s">
        <v>117</v>
      </c>
      <c r="U56" s="967">
        <v>2.6003601355767965E-2</v>
      </c>
      <c r="V56" s="207"/>
      <c r="W56" s="252">
        <v>1.1398245260944957</v>
      </c>
      <c r="X56" s="1297"/>
      <c r="Y56" s="1186"/>
      <c r="AA56" s="1294"/>
      <c r="AD56" s="33" t="str">
        <f>C54&amp;F56</f>
        <v>Mexico% GDP</v>
      </c>
    </row>
    <row r="57" spans="1:30" s="1071" customFormat="1" ht="165" customHeight="1">
      <c r="A57" s="1269">
        <v>1</v>
      </c>
      <c r="B57" s="1269" t="s">
        <v>861</v>
      </c>
      <c r="C57" s="1273" t="s">
        <v>15</v>
      </c>
      <c r="D57" s="1277" t="s">
        <v>571</v>
      </c>
      <c r="E57" s="1066"/>
      <c r="F57" s="520" t="s">
        <v>115</v>
      </c>
      <c r="G57" s="186">
        <v>5354</v>
      </c>
      <c r="H57" s="1061">
        <v>775</v>
      </c>
      <c r="I57" s="1184" t="s">
        <v>1494</v>
      </c>
      <c r="J57" s="186">
        <v>4579</v>
      </c>
      <c r="K57" s="1190" t="s">
        <v>1610</v>
      </c>
      <c r="L57" s="1061">
        <v>460</v>
      </c>
      <c r="M57" s="1184" t="s">
        <v>805</v>
      </c>
      <c r="N57" s="1066"/>
      <c r="O57" s="520" t="s">
        <v>115</v>
      </c>
      <c r="P57" s="186">
        <v>1567</v>
      </c>
      <c r="Q57" s="265">
        <v>567</v>
      </c>
      <c r="R57" s="1184" t="s">
        <v>1611</v>
      </c>
      <c r="S57" s="1066"/>
      <c r="T57" s="520" t="s">
        <v>115</v>
      </c>
      <c r="U57" s="190">
        <v>500</v>
      </c>
      <c r="V57" s="1184" t="s">
        <v>978</v>
      </c>
      <c r="W57" s="1069">
        <v>500</v>
      </c>
      <c r="X57" s="1190" t="s">
        <v>806</v>
      </c>
      <c r="Y57" s="1059"/>
      <c r="Z57" s="1066"/>
      <c r="AA57" s="1059"/>
      <c r="AD57" s="352" t="str">
        <f>C57&amp;F57</f>
        <v>RussiaLC bn</v>
      </c>
    </row>
    <row r="58" spans="1:30" s="1071" customFormat="1" ht="138" customHeight="1">
      <c r="A58" s="1269"/>
      <c r="B58" s="1269"/>
      <c r="C58" s="1273"/>
      <c r="D58" s="1277"/>
      <c r="F58" s="520" t="s">
        <v>116</v>
      </c>
      <c r="G58" s="258">
        <v>74.006320564062733</v>
      </c>
      <c r="H58" s="251">
        <v>10.712532393938853</v>
      </c>
      <c r="I58" s="1219"/>
      <c r="J58" s="258">
        <v>63.293788170123882</v>
      </c>
      <c r="K58" s="1238"/>
      <c r="L58" s="1035">
        <v>6.3584063241443518</v>
      </c>
      <c r="M58" s="1219"/>
      <c r="O58" s="520" t="s">
        <v>116</v>
      </c>
      <c r="P58" s="522">
        <v>21.660049369422172</v>
      </c>
      <c r="Q58" s="470">
        <v>7.837426925630103</v>
      </c>
      <c r="R58" s="1219"/>
      <c r="T58" s="520" t="s">
        <v>116</v>
      </c>
      <c r="U58" s="470">
        <v>6.9113112218960344</v>
      </c>
      <c r="V58" s="1219"/>
      <c r="W58" s="470">
        <v>6.9113112218960344</v>
      </c>
      <c r="X58" s="1238"/>
      <c r="Y58" s="1065"/>
      <c r="AA58" s="1065"/>
      <c r="AD58" s="352" t="str">
        <f>C57&amp;F58</f>
        <v>RussiaUSD bn</v>
      </c>
    </row>
    <row r="59" spans="1:30" s="352" customFormat="1" ht="210.75" customHeight="1">
      <c r="A59" s="1269"/>
      <c r="B59" s="1269"/>
      <c r="C59" s="1257"/>
      <c r="D59" s="1254"/>
      <c r="E59" s="6"/>
      <c r="F59" s="520" t="s">
        <v>117</v>
      </c>
      <c r="G59" s="252">
        <v>5.0052604782800296</v>
      </c>
      <c r="H59" s="252">
        <v>0.72451940057284703</v>
      </c>
      <c r="I59" s="1186"/>
      <c r="J59" s="252">
        <v>4.2807410777071828</v>
      </c>
      <c r="K59" s="1192"/>
      <c r="L59" s="173">
        <v>0.43003732163033498</v>
      </c>
      <c r="M59" s="1186"/>
      <c r="N59" s="6"/>
      <c r="O59" s="520" t="s">
        <v>117</v>
      </c>
      <c r="P59" s="17">
        <v>1.464931484771163</v>
      </c>
      <c r="Q59" s="17">
        <v>0.53006774209652163</v>
      </c>
      <c r="R59" s="1186"/>
      <c r="S59" s="6"/>
      <c r="T59" s="520" t="s">
        <v>117</v>
      </c>
      <c r="U59" s="17">
        <v>0.46743187133732073</v>
      </c>
      <c r="V59" s="1186"/>
      <c r="W59" s="17">
        <v>0.46743187133732073</v>
      </c>
      <c r="X59" s="1192"/>
      <c r="Y59" s="1065"/>
      <c r="Z59" s="3"/>
      <c r="AA59" s="1063"/>
      <c r="AD59" s="352" t="str">
        <f>C57&amp;F59</f>
        <v>Russia% GDP</v>
      </c>
    </row>
    <row r="60" spans="1:30" s="1066" customFormat="1" ht="43.5" customHeight="1">
      <c r="A60" s="1269">
        <v>1</v>
      </c>
      <c r="B60" s="1269" t="s">
        <v>861</v>
      </c>
      <c r="C60" s="1273" t="s">
        <v>16</v>
      </c>
      <c r="D60" s="1277" t="s">
        <v>570</v>
      </c>
      <c r="F60" s="38" t="s">
        <v>115</v>
      </c>
      <c r="G60" s="177">
        <v>67.599999999999994</v>
      </c>
      <c r="H60" s="1061">
        <v>54</v>
      </c>
      <c r="I60" s="1184" t="s">
        <v>1612</v>
      </c>
      <c r="J60" s="1067">
        <v>13.6</v>
      </c>
      <c r="K60" s="1184" t="s">
        <v>1613</v>
      </c>
      <c r="L60" s="1061">
        <v>42.5</v>
      </c>
      <c r="M60" s="1184" t="s">
        <v>1614</v>
      </c>
      <c r="O60" s="38" t="s">
        <v>115</v>
      </c>
      <c r="P60" s="496">
        <v>25.7</v>
      </c>
      <c r="Q60" s="274">
        <v>25.7</v>
      </c>
      <c r="R60" s="1184" t="s">
        <v>1615</v>
      </c>
      <c r="T60" s="38" t="s">
        <v>115</v>
      </c>
      <c r="U60" s="1067"/>
      <c r="V60" s="1059"/>
      <c r="W60" s="1059"/>
      <c r="X60" s="1059"/>
      <c r="Y60" s="1059"/>
      <c r="AA60" s="1225" t="s">
        <v>59</v>
      </c>
      <c r="AD60" s="352" t="str">
        <f>C60&amp;F60</f>
        <v>Saudi ArabiaLC bn</v>
      </c>
    </row>
    <row r="61" spans="1:30" s="1071" customFormat="1" ht="58.5" customHeight="1">
      <c r="A61" s="1269"/>
      <c r="B61" s="1269"/>
      <c r="C61" s="1273"/>
      <c r="D61" s="1277"/>
      <c r="F61" s="520" t="s">
        <v>116</v>
      </c>
      <c r="G61" s="258">
        <v>18.026666666666664</v>
      </c>
      <c r="H61" s="251">
        <v>14.4</v>
      </c>
      <c r="I61" s="1219"/>
      <c r="J61" s="258">
        <v>3.6266666666666665</v>
      </c>
      <c r="K61" s="1219"/>
      <c r="L61" s="522">
        <v>11.333333333333334</v>
      </c>
      <c r="M61" s="1219"/>
      <c r="O61" s="520" t="s">
        <v>116</v>
      </c>
      <c r="P61" s="1072">
        <v>6.8533333333333335</v>
      </c>
      <c r="Q61" s="269">
        <v>6.8533333333333335</v>
      </c>
      <c r="R61" s="1219"/>
      <c r="T61" s="520" t="s">
        <v>116</v>
      </c>
      <c r="U61" s="936"/>
      <c r="V61" s="1065"/>
      <c r="W61" s="1065"/>
      <c r="X61" s="1065"/>
      <c r="Y61" s="1065"/>
      <c r="AA61" s="1226"/>
      <c r="AD61" s="352" t="str">
        <f>C60&amp;F61</f>
        <v>Saudi ArabiaUSD bn</v>
      </c>
    </row>
    <row r="62" spans="1:30" s="352" customFormat="1" ht="91.75" customHeight="1">
      <c r="A62" s="1269"/>
      <c r="B62" s="1269"/>
      <c r="C62" s="1257"/>
      <c r="D62" s="1254"/>
      <c r="E62" s="12"/>
      <c r="F62" s="53" t="s">
        <v>117</v>
      </c>
      <c r="G62" s="252">
        <v>2.5748045471962433</v>
      </c>
      <c r="H62" s="252">
        <v>2.0567965317839816</v>
      </c>
      <c r="I62" s="1186"/>
      <c r="J62" s="252">
        <v>0.51800801541226205</v>
      </c>
      <c r="K62" s="1186"/>
      <c r="L62" s="17">
        <v>1.6187750329433777</v>
      </c>
      <c r="M62" s="1186"/>
      <c r="N62" s="12"/>
      <c r="O62" s="53" t="s">
        <v>117</v>
      </c>
      <c r="P62" s="499">
        <v>0.97888278462693656</v>
      </c>
      <c r="Q62" s="267">
        <v>0.97888278462693656</v>
      </c>
      <c r="R62" s="1186"/>
      <c r="S62" s="12"/>
      <c r="T62" s="53" t="s">
        <v>117</v>
      </c>
      <c r="U62" s="17"/>
      <c r="V62" s="1060"/>
      <c r="W62" s="1060"/>
      <c r="X62" s="1060"/>
      <c r="Y62" s="1060"/>
      <c r="Z62" s="52"/>
      <c r="AA62" s="1064"/>
      <c r="AD62" s="352" t="str">
        <f>C60&amp;F62</f>
        <v>Saudi Arabia% GDP</v>
      </c>
    </row>
    <row r="63" spans="1:30" s="1071" customFormat="1" ht="143.5" customHeight="1">
      <c r="A63" s="1269">
        <v>1</v>
      </c>
      <c r="B63" s="1269" t="s">
        <v>861</v>
      </c>
      <c r="C63" s="1273" t="s">
        <v>17</v>
      </c>
      <c r="D63" s="1277" t="s">
        <v>570</v>
      </c>
      <c r="E63" s="1066"/>
      <c r="F63" s="520" t="s">
        <v>115</v>
      </c>
      <c r="G63" s="177">
        <v>291.3</v>
      </c>
      <c r="H63" s="177">
        <v>38.299999999999997</v>
      </c>
      <c r="I63" s="1184" t="s">
        <v>1526</v>
      </c>
      <c r="J63" s="177">
        <v>253</v>
      </c>
      <c r="K63" s="1190" t="s">
        <v>1527</v>
      </c>
      <c r="L63" s="177">
        <v>44</v>
      </c>
      <c r="M63" s="1190" t="s">
        <v>1528</v>
      </c>
      <c r="N63" s="1066"/>
      <c r="O63" s="520" t="s">
        <v>115</v>
      </c>
      <c r="P63" s="177">
        <v>203</v>
      </c>
      <c r="Q63" s="274"/>
      <c r="R63" s="1184"/>
      <c r="S63" s="1066"/>
      <c r="T63" s="520" t="s">
        <v>115</v>
      </c>
      <c r="U63" s="177">
        <v>200</v>
      </c>
      <c r="V63" s="1190" t="s">
        <v>1529</v>
      </c>
      <c r="W63" s="1067">
        <v>3</v>
      </c>
      <c r="X63" s="1190" t="s">
        <v>575</v>
      </c>
      <c r="Y63" s="1059"/>
      <c r="Z63" s="1066"/>
      <c r="AA63" s="1059"/>
      <c r="AD63" s="352" t="str">
        <f>C63&amp;F63</f>
        <v>South AfricaLC bn</v>
      </c>
    </row>
    <row r="64" spans="1:30" s="1071" customFormat="1" ht="97.5" customHeight="1">
      <c r="A64" s="1269"/>
      <c r="B64" s="1269"/>
      <c r="C64" s="1273"/>
      <c r="D64" s="1277"/>
      <c r="F64" s="520" t="s">
        <v>116</v>
      </c>
      <c r="G64" s="258">
        <v>17.693238243228844</v>
      </c>
      <c r="H64" s="251">
        <v>2.3262994325975441</v>
      </c>
      <c r="I64" s="1219"/>
      <c r="J64" s="258">
        <v>15.366938810631298</v>
      </c>
      <c r="K64" s="1238"/>
      <c r="L64" s="1035">
        <v>2.6725110975010953</v>
      </c>
      <c r="M64" s="1238"/>
      <c r="O64" s="520" t="s">
        <v>116</v>
      </c>
      <c r="P64" s="190">
        <v>12.32999438165278</v>
      </c>
      <c r="Q64" s="269"/>
      <c r="R64" s="1219"/>
      <c r="T64" s="520" t="s">
        <v>116</v>
      </c>
      <c r="U64" s="190">
        <v>12.147777715914069</v>
      </c>
      <c r="V64" s="1238"/>
      <c r="W64" s="936">
        <v>0.18221666573871104</v>
      </c>
      <c r="X64" s="1238"/>
      <c r="Y64" s="1065"/>
      <c r="AA64" s="1065"/>
      <c r="AD64" s="352" t="str">
        <f>C63&amp;F64</f>
        <v>South AfricaUSD bn</v>
      </c>
    </row>
    <row r="65" spans="1:30" s="352" customFormat="1" ht="61.5" customHeight="1">
      <c r="A65" s="1269"/>
      <c r="B65" s="1269"/>
      <c r="C65" s="1257"/>
      <c r="D65" s="1254"/>
      <c r="E65" s="12"/>
      <c r="F65" s="53" t="s">
        <v>117</v>
      </c>
      <c r="G65" s="252">
        <v>5.2761463161134641</v>
      </c>
      <c r="H65" s="252">
        <v>0.69370547170321195</v>
      </c>
      <c r="I65" s="1186"/>
      <c r="J65" s="252">
        <v>4.582440844410252</v>
      </c>
      <c r="K65" s="1192"/>
      <c r="L65" s="173">
        <v>0.88478224805071415</v>
      </c>
      <c r="M65" s="1192"/>
      <c r="N65" s="12"/>
      <c r="O65" s="53" t="s">
        <v>117</v>
      </c>
      <c r="P65" s="17">
        <v>4.0820635535067034</v>
      </c>
      <c r="Q65" s="267"/>
      <c r="R65" s="1186"/>
      <c r="S65" s="12"/>
      <c r="T65" s="53" t="s">
        <v>117</v>
      </c>
      <c r="U65" s="17">
        <v>4.0217374911396089</v>
      </c>
      <c r="V65" s="1192"/>
      <c r="W65" s="1068">
        <v>6.032606236709414E-2</v>
      </c>
      <c r="X65" s="1192"/>
      <c r="Y65" s="1060"/>
      <c r="Z65" s="52"/>
      <c r="AA65" s="1064"/>
      <c r="AD65" s="352" t="str">
        <f>C63&amp;F65</f>
        <v>South Africa% GDP</v>
      </c>
    </row>
    <row r="66" spans="1:30" s="37" customFormat="1" ht="92.15" customHeight="1">
      <c r="A66" s="1268">
        <v>1</v>
      </c>
      <c r="B66" s="1268" t="s">
        <v>861</v>
      </c>
      <c r="C66" s="1256" t="s">
        <v>18</v>
      </c>
      <c r="D66" s="1253" t="s">
        <v>572</v>
      </c>
      <c r="E66" s="14"/>
      <c r="F66" s="175" t="s">
        <v>115</v>
      </c>
      <c r="G66" s="177">
        <v>176.9</v>
      </c>
      <c r="H66" s="1113">
        <v>19.399999999999999</v>
      </c>
      <c r="I66" s="1190" t="s">
        <v>1569</v>
      </c>
      <c r="J66" s="1022">
        <v>157.5</v>
      </c>
      <c r="K66" s="1190" t="s">
        <v>1670</v>
      </c>
      <c r="L66" s="1022">
        <v>70.2</v>
      </c>
      <c r="M66" s="1190" t="s">
        <v>1307</v>
      </c>
      <c r="N66" s="14"/>
      <c r="O66" s="175" t="s">
        <v>115</v>
      </c>
      <c r="P66" s="177">
        <v>486.2</v>
      </c>
      <c r="Q66" s="274">
        <v>21</v>
      </c>
      <c r="R66" s="1193" t="s">
        <v>848</v>
      </c>
      <c r="S66" s="14"/>
      <c r="T66" s="175" t="s">
        <v>115</v>
      </c>
      <c r="U66" s="255">
        <v>322</v>
      </c>
      <c r="V66" s="1184" t="s">
        <v>1493</v>
      </c>
      <c r="W66" s="177">
        <v>143.19999999999999</v>
      </c>
      <c r="X66" s="1193" t="s">
        <v>1495</v>
      </c>
      <c r="Y66" s="490"/>
      <c r="Z66" s="14"/>
      <c r="AA66" s="490"/>
      <c r="AD66" s="33" t="str">
        <f>C66&amp;F66</f>
        <v>TurkeyLC bn</v>
      </c>
    </row>
    <row r="67" spans="1:30" s="37" customFormat="1" ht="106" customHeight="1">
      <c r="A67" s="1268"/>
      <c r="B67" s="1268"/>
      <c r="C67" s="1256"/>
      <c r="D67" s="1253"/>
      <c r="F67" s="175" t="s">
        <v>116</v>
      </c>
      <c r="G67" s="258">
        <v>25.234121210982789</v>
      </c>
      <c r="H67" s="661">
        <v>2.7673372045961901</v>
      </c>
      <c r="I67" s="1191"/>
      <c r="J67" s="172">
        <v>22.466784006386597</v>
      </c>
      <c r="K67" s="1238"/>
      <c r="L67" s="172">
        <v>10.01376658570374</v>
      </c>
      <c r="M67" s="1191"/>
      <c r="O67" s="175" t="s">
        <v>116</v>
      </c>
      <c r="P67" s="418">
        <v>69.354605612096279</v>
      </c>
      <c r="Q67" s="172">
        <v>2.995571200851546</v>
      </c>
      <c r="R67" s="1196"/>
      <c r="T67" s="175" t="s">
        <v>116</v>
      </c>
      <c r="U67" s="251">
        <v>45.932091746390377</v>
      </c>
      <c r="V67" s="1185"/>
      <c r="W67" s="251">
        <v>20.426942664854352</v>
      </c>
      <c r="X67" s="1196"/>
      <c r="Y67" s="491"/>
      <c r="AA67" s="491"/>
      <c r="AD67" s="33" t="str">
        <f>C66&amp;F67</f>
        <v>TurkeyUSD bn</v>
      </c>
    </row>
    <row r="68" spans="1:30" ht="146.15" customHeight="1">
      <c r="A68" s="1268"/>
      <c r="B68" s="1268"/>
      <c r="C68" s="1257"/>
      <c r="D68" s="1254"/>
      <c r="E68" s="12"/>
      <c r="F68" s="53" t="s">
        <v>117</v>
      </c>
      <c r="G68" s="252">
        <v>3.5051335544057456</v>
      </c>
      <c r="H68" s="716">
        <v>0.3843956526595334</v>
      </c>
      <c r="I68" s="1192"/>
      <c r="J68" s="173">
        <v>3.120737901746212</v>
      </c>
      <c r="K68" s="1192"/>
      <c r="L68" s="173">
        <v>1.3909574647783118</v>
      </c>
      <c r="M68" s="1192"/>
      <c r="N68" s="12"/>
      <c r="O68" s="53" t="s">
        <v>117</v>
      </c>
      <c r="P68" s="173">
        <v>9.6336683671683065</v>
      </c>
      <c r="Q68" s="173">
        <v>0.41609838689949497</v>
      </c>
      <c r="R68" s="1197"/>
      <c r="S68" s="12"/>
      <c r="T68" s="53" t="s">
        <v>117</v>
      </c>
      <c r="U68" s="252">
        <v>6.3801752657922552</v>
      </c>
      <c r="V68" s="1186"/>
      <c r="W68" s="252">
        <v>2.8373947144765559</v>
      </c>
      <c r="X68" s="1197"/>
      <c r="Y68" s="492"/>
      <c r="Z68" s="52"/>
      <c r="AA68" s="494"/>
      <c r="AD68" s="33" t="str">
        <f>C66&amp;F68</f>
        <v>Turkey% GDP</v>
      </c>
    </row>
    <row r="69" spans="1:30" ht="109.5" customHeight="1">
      <c r="A69" s="1268">
        <v>0</v>
      </c>
      <c r="B69" s="1268" t="s">
        <v>858</v>
      </c>
      <c r="C69" s="1256" t="s">
        <v>547</v>
      </c>
      <c r="D69" s="1253" t="s">
        <v>570</v>
      </c>
      <c r="F69" s="175" t="s">
        <v>115</v>
      </c>
      <c r="G69" s="251">
        <v>37.200000000000003</v>
      </c>
      <c r="H69" s="258">
        <v>9.6</v>
      </c>
      <c r="I69" s="1310" t="s">
        <v>1601</v>
      </c>
      <c r="J69" s="103">
        <v>27.6</v>
      </c>
      <c r="K69" s="1258" t="s">
        <v>1678</v>
      </c>
      <c r="L69" s="103">
        <v>12.9</v>
      </c>
      <c r="M69" s="1184" t="s">
        <v>1602</v>
      </c>
      <c r="O69" s="175" t="s">
        <v>115</v>
      </c>
      <c r="P69" s="496">
        <v>53.6</v>
      </c>
      <c r="Q69" s="269">
        <v>1.6</v>
      </c>
      <c r="R69" s="1190" t="s">
        <v>1509</v>
      </c>
      <c r="T69" s="175" t="s">
        <v>115</v>
      </c>
      <c r="U69" s="251">
        <v>52</v>
      </c>
      <c r="V69" s="1184" t="s">
        <v>1679</v>
      </c>
      <c r="W69" s="58"/>
      <c r="X69" s="58"/>
      <c r="AA69" s="484"/>
      <c r="AD69" s="33" t="str">
        <f>C69&amp;F69</f>
        <v>BelgiumLC bn</v>
      </c>
    </row>
    <row r="70" spans="1:30" ht="116.15" customHeight="1">
      <c r="A70" s="1268"/>
      <c r="B70" s="1268"/>
      <c r="C70" s="1256"/>
      <c r="D70" s="1253"/>
      <c r="F70" s="175" t="s">
        <v>116</v>
      </c>
      <c r="G70" s="251">
        <v>42.45568516798415</v>
      </c>
      <c r="H70" s="258">
        <v>10.95630584980236</v>
      </c>
      <c r="I70" s="1219"/>
      <c r="J70" s="251">
        <v>31.499379318181788</v>
      </c>
      <c r="K70" s="1238"/>
      <c r="L70" s="251">
        <v>14.722535985671922</v>
      </c>
      <c r="M70" s="1219"/>
      <c r="O70" s="175" t="s">
        <v>116</v>
      </c>
      <c r="P70" s="497">
        <v>61.172707661396508</v>
      </c>
      <c r="Q70" s="258">
        <v>1.8260509749670601</v>
      </c>
      <c r="R70" s="1238"/>
      <c r="T70" s="175" t="s">
        <v>116</v>
      </c>
      <c r="U70" s="251">
        <v>59.346656686429448</v>
      </c>
      <c r="V70" s="1185"/>
      <c r="W70" s="58"/>
      <c r="X70" s="58"/>
      <c r="AA70" s="484"/>
      <c r="AD70" s="33" t="str">
        <f>C69&amp;F70</f>
        <v>BelgiumUSD bn</v>
      </c>
    </row>
    <row r="71" spans="1:30" ht="151.5" customHeight="1">
      <c r="A71" s="1268"/>
      <c r="B71" s="1268"/>
      <c r="C71" s="1257"/>
      <c r="D71" s="1254"/>
      <c r="F71" s="53" t="s">
        <v>117</v>
      </c>
      <c r="G71" s="252">
        <v>8.2451011465566726</v>
      </c>
      <c r="H71" s="252">
        <v>2.127768037821077</v>
      </c>
      <c r="I71" s="1186"/>
      <c r="J71" s="252">
        <v>6.117333108735596</v>
      </c>
      <c r="K71" s="1192"/>
      <c r="L71" s="252">
        <v>2.8591883008220722</v>
      </c>
      <c r="M71" s="1186"/>
      <c r="O71" s="53" t="s">
        <v>117</v>
      </c>
      <c r="P71" s="499">
        <v>11.880038211167678</v>
      </c>
      <c r="Q71" s="252">
        <v>0.35462800630351282</v>
      </c>
      <c r="R71" s="1192"/>
      <c r="T71" s="53" t="s">
        <v>117</v>
      </c>
      <c r="U71" s="252">
        <v>11.525410204864166</v>
      </c>
      <c r="V71" s="1186"/>
      <c r="W71" s="58"/>
      <c r="X71" s="58"/>
      <c r="AA71" s="484"/>
      <c r="AD71" s="33" t="str">
        <f>C69&amp;F71</f>
        <v>Belgium% GDP</v>
      </c>
    </row>
    <row r="72" spans="1:30" ht="234.65" customHeight="1">
      <c r="A72" s="1268">
        <v>0</v>
      </c>
      <c r="B72" s="1268" t="s">
        <v>858</v>
      </c>
      <c r="C72" s="1256" t="s">
        <v>542</v>
      </c>
      <c r="D72" s="1253" t="s">
        <v>570</v>
      </c>
      <c r="E72" s="15"/>
      <c r="F72" s="175" t="s">
        <v>115</v>
      </c>
      <c r="G72" s="255">
        <v>523.4</v>
      </c>
      <c r="H72" s="877">
        <v>148.4</v>
      </c>
      <c r="I72" s="1258" t="s">
        <v>1632</v>
      </c>
      <c r="J72" s="876">
        <v>375</v>
      </c>
      <c r="K72" s="1258" t="s">
        <v>1634</v>
      </c>
      <c r="L72" s="876">
        <v>14.3</v>
      </c>
      <c r="M72" s="1258" t="s">
        <v>1635</v>
      </c>
      <c r="N72" s="14"/>
      <c r="O72" s="175" t="s">
        <v>115</v>
      </c>
      <c r="P72" s="496">
        <v>881.3</v>
      </c>
      <c r="Q72" s="276">
        <v>0.9</v>
      </c>
      <c r="R72" s="1190" t="s">
        <v>1636</v>
      </c>
      <c r="S72" s="14"/>
      <c r="T72" s="175" t="s">
        <v>115</v>
      </c>
      <c r="U72" s="255">
        <v>880.4</v>
      </c>
      <c r="V72" s="1193" t="s">
        <v>1633</v>
      </c>
      <c r="W72" s="255"/>
      <c r="X72" s="1184"/>
      <c r="AA72" s="467"/>
      <c r="AD72" s="33" t="str">
        <f>C72&amp;F72</f>
        <v>Czech RepublicLC bn</v>
      </c>
    </row>
    <row r="73" spans="1:30" ht="194.5" customHeight="1">
      <c r="A73" s="1268"/>
      <c r="B73" s="1268"/>
      <c r="C73" s="1256"/>
      <c r="D73" s="1253"/>
      <c r="F73" s="175" t="s">
        <v>116</v>
      </c>
      <c r="G73" s="251">
        <v>22.550381835611422</v>
      </c>
      <c r="H73" s="530">
        <v>6.3937269094473352</v>
      </c>
      <c r="I73" s="1309"/>
      <c r="J73" s="258">
        <v>16.156654926164087</v>
      </c>
      <c r="K73" s="1309"/>
      <c r="L73" s="258">
        <v>0.61610710785105727</v>
      </c>
      <c r="M73" s="1238"/>
      <c r="N73" s="37"/>
      <c r="O73" s="175" t="s">
        <v>116</v>
      </c>
      <c r="P73" s="497">
        <v>37.970293297142426</v>
      </c>
      <c r="Q73" s="277">
        <v>3.8775971822793812E-2</v>
      </c>
      <c r="R73" s="1238"/>
      <c r="S73" s="37"/>
      <c r="T73" s="175" t="s">
        <v>116</v>
      </c>
      <c r="U73" s="251">
        <v>37.931517325319632</v>
      </c>
      <c r="V73" s="1196"/>
      <c r="W73" s="258"/>
      <c r="X73" s="1185"/>
      <c r="AA73" s="467"/>
      <c r="AD73" s="33" t="str">
        <f>C72&amp;F73</f>
        <v>Czech RepublicUSD bn</v>
      </c>
    </row>
    <row r="74" spans="1:30" ht="79.5" customHeight="1">
      <c r="A74" s="1268"/>
      <c r="B74" s="1268"/>
      <c r="C74" s="1257"/>
      <c r="D74" s="1254"/>
      <c r="F74" s="53" t="s">
        <v>117</v>
      </c>
      <c r="G74" s="252">
        <v>9.1911264362891103</v>
      </c>
      <c r="H74" s="533">
        <v>2.6059670675301949</v>
      </c>
      <c r="I74" s="1286"/>
      <c r="J74" s="252">
        <v>6.5851593687589149</v>
      </c>
      <c r="K74" s="1286"/>
      <c r="L74" s="252">
        <v>0.25111407726200669</v>
      </c>
      <c r="M74" s="1192"/>
      <c r="N74" s="12"/>
      <c r="O74" s="53" t="s">
        <v>117</v>
      </c>
      <c r="P74" s="499">
        <v>15.476002537832619</v>
      </c>
      <c r="Q74" s="267">
        <v>1.5804382485021397E-2</v>
      </c>
      <c r="R74" s="1192"/>
      <c r="S74" s="12"/>
      <c r="T74" s="53" t="s">
        <v>117</v>
      </c>
      <c r="U74" s="252">
        <v>15.460198155347598</v>
      </c>
      <c r="V74" s="1197"/>
      <c r="W74" s="252"/>
      <c r="X74" s="1186"/>
      <c r="AA74" s="467"/>
      <c r="AD74" s="33" t="str">
        <f>C72&amp;F74</f>
        <v>Czech Republic% GDP</v>
      </c>
    </row>
    <row r="75" spans="1:30" s="225" customFormat="1" ht="177.65" customHeight="1">
      <c r="A75" s="1268">
        <v>0</v>
      </c>
      <c r="B75" s="1268" t="s">
        <v>858</v>
      </c>
      <c r="C75" s="1255" t="s">
        <v>19</v>
      </c>
      <c r="D75" s="1252" t="s">
        <v>570</v>
      </c>
      <c r="E75" s="1030"/>
      <c r="F75" s="38" t="s">
        <v>115</v>
      </c>
      <c r="G75" s="1031">
        <v>79.5</v>
      </c>
      <c r="H75" s="1029"/>
      <c r="I75" s="1220"/>
      <c r="J75" s="177">
        <v>79.5</v>
      </c>
      <c r="K75" s="1258" t="s">
        <v>1654</v>
      </c>
      <c r="L75" s="177">
        <v>318.8</v>
      </c>
      <c r="M75" s="1270" t="s">
        <v>1655</v>
      </c>
      <c r="N75" s="1030"/>
      <c r="O75" s="38" t="s">
        <v>115</v>
      </c>
      <c r="P75" s="496">
        <v>364.2</v>
      </c>
      <c r="Q75" s="274">
        <v>282</v>
      </c>
      <c r="R75" s="1190" t="s">
        <v>1595</v>
      </c>
      <c r="S75" s="1030"/>
      <c r="T75" s="38" t="s">
        <v>115</v>
      </c>
      <c r="U75" s="255">
        <v>82.2</v>
      </c>
      <c r="V75" s="1190" t="s">
        <v>1596</v>
      </c>
      <c r="W75" s="1023"/>
      <c r="X75" s="1023"/>
      <c r="Y75" s="1185" t="s">
        <v>1289</v>
      </c>
      <c r="AA75" s="517" t="s">
        <v>611</v>
      </c>
      <c r="AD75" s="33" t="str">
        <f>C75&amp;F75</f>
        <v>DenmarkLC bn</v>
      </c>
    </row>
    <row r="76" spans="1:30" ht="104.5" customHeight="1">
      <c r="A76" s="1268"/>
      <c r="B76" s="1268"/>
      <c r="C76" s="1256"/>
      <c r="D76" s="1253"/>
      <c r="E76" s="35"/>
      <c r="F76" s="175" t="s">
        <v>116</v>
      </c>
      <c r="G76" s="251">
        <v>12.151964295383831</v>
      </c>
      <c r="H76" s="495"/>
      <c r="I76" s="1221"/>
      <c r="J76" s="251">
        <v>12.151964295383831</v>
      </c>
      <c r="K76" s="1191"/>
      <c r="L76" s="251">
        <v>48.730141098973149</v>
      </c>
      <c r="M76" s="1185"/>
      <c r="N76" s="35"/>
      <c r="O76" s="175" t="s">
        <v>116</v>
      </c>
      <c r="P76" s="497">
        <v>55.669753413569694</v>
      </c>
      <c r="Q76" s="269">
        <v>43.105080896833208</v>
      </c>
      <c r="R76" s="1191"/>
      <c r="S76" s="35"/>
      <c r="T76" s="175" t="s">
        <v>116</v>
      </c>
      <c r="U76" s="251">
        <v>12.56467251673649</v>
      </c>
      <c r="V76" s="1185"/>
      <c r="W76" s="1024"/>
      <c r="X76" s="1024"/>
      <c r="Y76" s="1185"/>
      <c r="AA76" s="517" t="s">
        <v>612</v>
      </c>
      <c r="AD76" s="33" t="str">
        <f>C75&amp;F76</f>
        <v>DenmarkUSD bn</v>
      </c>
    </row>
    <row r="77" spans="1:30" ht="141" customHeight="1">
      <c r="A77" s="1268"/>
      <c r="B77" s="1268"/>
      <c r="C77" s="1257"/>
      <c r="D77" s="1254"/>
      <c r="E77" s="12"/>
      <c r="F77" s="53" t="s">
        <v>117</v>
      </c>
      <c r="G77" s="252">
        <v>3.412660153565414</v>
      </c>
      <c r="H77" s="716"/>
      <c r="I77" s="1222"/>
      <c r="J77" s="252">
        <v>3.412660153565414</v>
      </c>
      <c r="K77" s="1192"/>
      <c r="L77" s="252">
        <v>13.684981848511372</v>
      </c>
      <c r="M77" s="1186"/>
      <c r="N77" s="12"/>
      <c r="O77" s="53" t="s">
        <v>117</v>
      </c>
      <c r="P77" s="499">
        <v>15.633846892182691</v>
      </c>
      <c r="Q77" s="267">
        <v>12.105285073024488</v>
      </c>
      <c r="R77" s="1192"/>
      <c r="S77" s="12"/>
      <c r="T77" s="53" t="s">
        <v>117</v>
      </c>
      <c r="U77" s="252">
        <v>3.528561819158202</v>
      </c>
      <c r="V77" s="1186"/>
      <c r="W77" s="1025"/>
      <c r="X77" s="1025"/>
      <c r="Y77" s="1186"/>
      <c r="AA77" s="517" t="s">
        <v>613</v>
      </c>
      <c r="AD77" s="33" t="str">
        <f>C75&amp;F77</f>
        <v>Denmark% GDP</v>
      </c>
    </row>
    <row r="78" spans="1:30" s="15" customFormat="1" ht="104.5" customHeight="1">
      <c r="A78" s="1268">
        <v>0</v>
      </c>
      <c r="B78" s="1268" t="s">
        <v>858</v>
      </c>
      <c r="C78" s="1256" t="s">
        <v>20</v>
      </c>
      <c r="D78" s="1253" t="s">
        <v>570</v>
      </c>
      <c r="F78" s="38" t="s">
        <v>115</v>
      </c>
      <c r="G78" s="176">
        <v>11.3</v>
      </c>
      <c r="H78" s="1044">
        <v>4.0999999999999996</v>
      </c>
      <c r="I78" s="1184" t="s">
        <v>1652</v>
      </c>
      <c r="J78" s="516">
        <v>7.2</v>
      </c>
      <c r="K78" s="1184" t="s">
        <v>1573</v>
      </c>
      <c r="L78" s="940">
        <v>0.5</v>
      </c>
      <c r="M78" s="1220" t="s">
        <v>1574</v>
      </c>
      <c r="O78" s="38" t="s">
        <v>115</v>
      </c>
      <c r="P78" s="496">
        <v>17.399999999999999</v>
      </c>
      <c r="Q78" s="268">
        <v>1.2</v>
      </c>
      <c r="R78" s="1190" t="s">
        <v>1572</v>
      </c>
      <c r="T78" s="38" t="s">
        <v>115</v>
      </c>
      <c r="U78" s="105">
        <v>12.2</v>
      </c>
      <c r="V78" s="1184" t="s">
        <v>1575</v>
      </c>
      <c r="W78" s="539">
        <v>4</v>
      </c>
      <c r="X78" s="1184" t="s">
        <v>1576</v>
      </c>
      <c r="Y78" s="1184" t="s">
        <v>233</v>
      </c>
      <c r="AA78" s="156" t="s">
        <v>46</v>
      </c>
      <c r="AD78" s="33" t="str">
        <f>C78&amp;F78</f>
        <v>FinlandLC bn</v>
      </c>
    </row>
    <row r="79" spans="1:30" s="55" customFormat="1" ht="164.5" customHeight="1">
      <c r="A79" s="1268"/>
      <c r="B79" s="1268"/>
      <c r="C79" s="1256"/>
      <c r="D79" s="1253"/>
      <c r="F79" s="175" t="s">
        <v>116</v>
      </c>
      <c r="G79" s="258">
        <v>12.896485010704863</v>
      </c>
      <c r="H79" s="258">
        <v>4.6792556233530913</v>
      </c>
      <c r="I79" s="1308"/>
      <c r="J79" s="258">
        <v>8.2172293873517699</v>
      </c>
      <c r="K79" s="1219"/>
      <c r="L79" s="941">
        <v>0.57064092967720625</v>
      </c>
      <c r="M79" s="1287"/>
      <c r="O79" s="175" t="s">
        <v>116</v>
      </c>
      <c r="P79" s="497">
        <v>19.858304352766776</v>
      </c>
      <c r="Q79" s="269">
        <v>1.3695382312252951</v>
      </c>
      <c r="R79" s="1238"/>
      <c r="T79" s="175" t="s">
        <v>116</v>
      </c>
      <c r="U79" s="251">
        <v>13.923638684123832</v>
      </c>
      <c r="V79" s="1219"/>
      <c r="W79" s="530">
        <v>4.56512743741765</v>
      </c>
      <c r="X79" s="1219"/>
      <c r="Y79" s="1186"/>
      <c r="AA79" s="157"/>
      <c r="AD79" s="33" t="str">
        <f>C78&amp;F79</f>
        <v>FinlandUSD bn</v>
      </c>
    </row>
    <row r="80" spans="1:30" ht="176.25" customHeight="1">
      <c r="A80" s="1268"/>
      <c r="B80" s="1268"/>
      <c r="C80" s="1257"/>
      <c r="D80" s="1254"/>
      <c r="E80" s="12"/>
      <c r="F80" s="53" t="s">
        <v>117</v>
      </c>
      <c r="G80" s="252">
        <v>4.7843243517875598</v>
      </c>
      <c r="H80" s="252">
        <v>1.7359052957813266</v>
      </c>
      <c r="I80" s="1204"/>
      <c r="J80" s="252">
        <v>3.0484190560062325</v>
      </c>
      <c r="K80" s="1186"/>
      <c r="L80" s="942">
        <v>0.21169576777821061</v>
      </c>
      <c r="M80" s="1222"/>
      <c r="N80" s="12"/>
      <c r="O80" s="53" t="s">
        <v>117</v>
      </c>
      <c r="P80" s="499">
        <v>7.3670127186817282</v>
      </c>
      <c r="Q80" s="267">
        <v>0.50806984266770538</v>
      </c>
      <c r="R80" s="1192"/>
      <c r="S80" s="12"/>
      <c r="T80" s="53" t="s">
        <v>117</v>
      </c>
      <c r="U80" s="252">
        <v>5.1653767337883378</v>
      </c>
      <c r="V80" s="1186"/>
      <c r="W80" s="531">
        <v>1.6935661422256849</v>
      </c>
      <c r="X80" s="1186"/>
      <c r="Y80" s="214" t="s">
        <v>234</v>
      </c>
      <c r="Z80" s="52"/>
      <c r="AA80" s="158"/>
      <c r="AD80" s="33" t="str">
        <f>C78&amp;F80</f>
        <v>Finland% GDP</v>
      </c>
    </row>
    <row r="81" spans="1:30" ht="104.5" customHeight="1">
      <c r="A81" s="1268">
        <v>0</v>
      </c>
      <c r="B81" s="1268" t="s">
        <v>858</v>
      </c>
      <c r="C81" s="1256" t="s">
        <v>184</v>
      </c>
      <c r="D81" s="1252" t="s">
        <v>570</v>
      </c>
      <c r="E81" s="14"/>
      <c r="F81" s="38" t="s">
        <v>115</v>
      </c>
      <c r="G81" s="255">
        <v>82.300000000000011</v>
      </c>
      <c r="H81" s="258">
        <v>16.600000000000001</v>
      </c>
      <c r="I81" s="1193" t="s">
        <v>1510</v>
      </c>
      <c r="J81" s="177">
        <v>65.7</v>
      </c>
      <c r="K81" s="1184" t="s">
        <v>1593</v>
      </c>
      <c r="L81" s="177">
        <v>11.5</v>
      </c>
      <c r="M81" s="1193" t="s">
        <v>1358</v>
      </c>
      <c r="N81" s="14"/>
      <c r="O81" s="175" t="s">
        <v>115</v>
      </c>
      <c r="P81" s="177">
        <v>34.799999999999997</v>
      </c>
      <c r="Q81" s="276"/>
      <c r="R81" s="1184"/>
      <c r="S81" s="14"/>
      <c r="T81" s="175" t="s">
        <v>115</v>
      </c>
      <c r="U81" s="255">
        <v>34.799999999999997</v>
      </c>
      <c r="V81" s="1184" t="s">
        <v>1594</v>
      </c>
      <c r="W81" s="295"/>
      <c r="X81" s="295"/>
      <c r="Y81" s="1184" t="s">
        <v>110</v>
      </c>
      <c r="Z81" s="14"/>
      <c r="AA81" s="1225" t="s">
        <v>47</v>
      </c>
      <c r="AD81" s="33" t="str">
        <f>C81&amp;F81</f>
        <v>The NetherlandsLC bn</v>
      </c>
    </row>
    <row r="82" spans="1:30" ht="70.5" customHeight="1">
      <c r="A82" s="1268"/>
      <c r="B82" s="1268"/>
      <c r="C82" s="1256"/>
      <c r="D82" s="1253"/>
      <c r="E82" s="37"/>
      <c r="F82" s="175" t="s">
        <v>116</v>
      </c>
      <c r="G82" s="251">
        <v>93.92749702486816</v>
      </c>
      <c r="H82" s="258">
        <v>18.94527886528325</v>
      </c>
      <c r="I82" s="1203"/>
      <c r="J82" s="251">
        <v>74.982218159584903</v>
      </c>
      <c r="K82" s="1219"/>
      <c r="L82" s="251">
        <v>13.124741382575744</v>
      </c>
      <c r="M82" s="1196"/>
      <c r="N82" s="37"/>
      <c r="O82" s="175" t="s">
        <v>116</v>
      </c>
      <c r="P82" s="118">
        <v>39.716608705533552</v>
      </c>
      <c r="Q82" s="277"/>
      <c r="R82" s="1219"/>
      <c r="S82" s="37"/>
      <c r="T82" s="175" t="s">
        <v>116</v>
      </c>
      <c r="U82" s="257">
        <v>39.716608705533552</v>
      </c>
      <c r="V82" s="1219"/>
      <c r="W82" s="300"/>
      <c r="X82" s="300"/>
      <c r="Y82" s="1185"/>
      <c r="Z82" s="37"/>
      <c r="AA82" s="1226"/>
      <c r="AD82" s="33" t="str">
        <f>C81&amp;F82</f>
        <v>The NetherlandsUSD bn</v>
      </c>
    </row>
    <row r="83" spans="1:30" ht="131.5" customHeight="1">
      <c r="A83" s="1268"/>
      <c r="B83" s="1268"/>
      <c r="C83" s="1257"/>
      <c r="D83" s="1254"/>
      <c r="E83" s="12"/>
      <c r="F83" s="53" t="s">
        <v>117</v>
      </c>
      <c r="G83" s="252">
        <v>10.2862785044276</v>
      </c>
      <c r="H83" s="252">
        <v>2.0747536230072678</v>
      </c>
      <c r="I83" s="1204"/>
      <c r="J83" s="252">
        <v>8.2115248814203312</v>
      </c>
      <c r="K83" s="1186"/>
      <c r="L83" s="252">
        <v>1.4373293171435892</v>
      </c>
      <c r="M83" s="1197"/>
      <c r="N83" s="12"/>
      <c r="O83" s="53" t="s">
        <v>117</v>
      </c>
      <c r="P83" s="17">
        <v>4.3494834988345135</v>
      </c>
      <c r="Q83" s="267"/>
      <c r="R83" s="1186"/>
      <c r="S83" s="12"/>
      <c r="T83" s="53" t="s">
        <v>117</v>
      </c>
      <c r="U83" s="589">
        <v>4.3494834988345135</v>
      </c>
      <c r="V83" s="1186"/>
      <c r="W83" s="297"/>
      <c r="X83" s="297"/>
      <c r="Y83" s="1186"/>
      <c r="Z83" s="52"/>
      <c r="AA83" s="1227"/>
      <c r="AD83" s="33" t="str">
        <f>C81&amp;F83</f>
        <v>The Netherlands% GDP</v>
      </c>
    </row>
    <row r="84" spans="1:30" ht="111.65" customHeight="1">
      <c r="A84" s="1269">
        <v>0</v>
      </c>
      <c r="B84" s="1269" t="s">
        <v>858</v>
      </c>
      <c r="C84" s="1255" t="s">
        <v>553</v>
      </c>
      <c r="D84" s="1252" t="s">
        <v>571</v>
      </c>
      <c r="E84" s="14"/>
      <c r="F84" s="38" t="s">
        <v>115</v>
      </c>
      <c r="G84" s="62">
        <v>62.1</v>
      </c>
      <c r="H84" s="1086">
        <v>5.0999999999999996</v>
      </c>
      <c r="I84" s="1184" t="s">
        <v>1396</v>
      </c>
      <c r="J84" s="119">
        <v>57</v>
      </c>
      <c r="K84" s="1258" t="s">
        <v>1563</v>
      </c>
      <c r="L84" s="1089"/>
      <c r="M84" s="1089"/>
      <c r="N84" s="16"/>
      <c r="O84" s="38" t="s">
        <v>115</v>
      </c>
      <c r="P84" s="177">
        <v>6.3</v>
      </c>
      <c r="Q84" s="1092">
        <v>3.4</v>
      </c>
      <c r="R84" s="1190" t="s">
        <v>1501</v>
      </c>
      <c r="S84" s="16"/>
      <c r="T84" s="38" t="s">
        <v>115</v>
      </c>
      <c r="U84" s="1087">
        <v>2.9</v>
      </c>
      <c r="V84" s="1190" t="s">
        <v>1465</v>
      </c>
      <c r="W84" s="1083"/>
      <c r="X84" s="1241"/>
      <c r="Y84" s="482"/>
      <c r="AA84" s="483"/>
      <c r="AD84" s="33" t="str">
        <f>C84&amp;F84</f>
        <v>New ZealandLC bn</v>
      </c>
    </row>
    <row r="85" spans="1:30" ht="83.5" customHeight="1">
      <c r="A85" s="1269"/>
      <c r="B85" s="1269"/>
      <c r="C85" s="1256"/>
      <c r="D85" s="1253"/>
      <c r="E85" s="37"/>
      <c r="F85" s="175" t="s">
        <v>116</v>
      </c>
      <c r="G85" s="103">
        <v>40.366333649903929</v>
      </c>
      <c r="H85" s="82">
        <v>3.3151095268037039</v>
      </c>
      <c r="I85" s="1203"/>
      <c r="J85" s="103">
        <v>37.051224123100226</v>
      </c>
      <c r="K85" s="1191"/>
      <c r="L85" s="1090"/>
      <c r="M85" s="1090"/>
      <c r="N85" s="35"/>
      <c r="O85" s="175" t="s">
        <v>116</v>
      </c>
      <c r="P85" s="1088">
        <v>4.0951352978163404</v>
      </c>
      <c r="Q85" s="82">
        <v>2.2100730178691359</v>
      </c>
      <c r="R85" s="1191"/>
      <c r="S85" s="35"/>
      <c r="T85" s="175" t="s">
        <v>116</v>
      </c>
      <c r="U85" s="82">
        <v>1.8850622799472043</v>
      </c>
      <c r="V85" s="1191"/>
      <c r="W85" s="1084"/>
      <c r="X85" s="1242"/>
      <c r="Y85" s="482"/>
      <c r="AA85" s="483"/>
      <c r="AD85" s="33" t="str">
        <f>C84&amp;F85</f>
        <v>New ZealandUSD bn</v>
      </c>
    </row>
    <row r="86" spans="1:30" ht="119.25" customHeight="1">
      <c r="A86" s="1269"/>
      <c r="B86" s="1269"/>
      <c r="C86" s="1257"/>
      <c r="D86" s="1254"/>
      <c r="E86" s="12"/>
      <c r="F86" s="53" t="s">
        <v>117</v>
      </c>
      <c r="G86" s="17">
        <v>19.27864943902545</v>
      </c>
      <c r="H86" s="17">
        <v>1.5832707268764863</v>
      </c>
      <c r="I86" s="1204"/>
      <c r="J86" s="17">
        <v>17.695378712148965</v>
      </c>
      <c r="K86" s="1192"/>
      <c r="L86" s="1091"/>
      <c r="M86" s="1091"/>
      <c r="N86" s="12"/>
      <c r="O86" s="53" t="s">
        <v>117</v>
      </c>
      <c r="P86" s="17">
        <v>1.9558050155533067</v>
      </c>
      <c r="Q86" s="17">
        <v>1.0555138179176575</v>
      </c>
      <c r="R86" s="1192"/>
      <c r="S86" s="12"/>
      <c r="T86" s="53" t="s">
        <v>117</v>
      </c>
      <c r="U86" s="17">
        <v>0.90029119763564913</v>
      </c>
      <c r="V86" s="1192"/>
      <c r="W86" s="1085"/>
      <c r="X86" s="1243"/>
      <c r="Y86" s="482"/>
      <c r="AA86" s="483"/>
      <c r="AD86" s="33" t="str">
        <f>C84&amp;F86</f>
        <v>New Zealand% GDP</v>
      </c>
    </row>
    <row r="87" spans="1:30" s="37" customFormat="1" ht="48" customHeight="1">
      <c r="A87" s="1269">
        <v>0</v>
      </c>
      <c r="B87" s="1269" t="s">
        <v>858</v>
      </c>
      <c r="C87" s="1273" t="s">
        <v>36</v>
      </c>
      <c r="D87" s="1277" t="s">
        <v>571</v>
      </c>
      <c r="E87" s="14"/>
      <c r="F87" s="38" t="s">
        <v>115</v>
      </c>
      <c r="G87" s="177">
        <v>225.2</v>
      </c>
      <c r="H87" s="930">
        <v>24.7</v>
      </c>
      <c r="I87" s="1184" t="s">
        <v>1542</v>
      </c>
      <c r="J87" s="932">
        <v>200.5</v>
      </c>
      <c r="K87" s="1184" t="s">
        <v>1543</v>
      </c>
      <c r="L87" s="930"/>
      <c r="M87" s="1184" t="s">
        <v>1378</v>
      </c>
      <c r="N87" s="14"/>
      <c r="O87" s="520" t="s">
        <v>115</v>
      </c>
      <c r="P87" s="177">
        <v>137.5</v>
      </c>
      <c r="Q87" s="274">
        <v>59.5</v>
      </c>
      <c r="R87" s="1184" t="s">
        <v>1549</v>
      </c>
      <c r="S87" s="14"/>
      <c r="T87" s="520" t="s">
        <v>115</v>
      </c>
      <c r="U87" s="177">
        <v>78</v>
      </c>
      <c r="V87" s="1184" t="s">
        <v>1550</v>
      </c>
      <c r="W87" s="928"/>
      <c r="X87" s="928"/>
      <c r="Y87" s="1184" t="s">
        <v>127</v>
      </c>
      <c r="Z87" s="14"/>
      <c r="AA87" s="1225" t="s">
        <v>48</v>
      </c>
      <c r="AD87" s="33" t="str">
        <f>C87&amp;F87</f>
        <v>NorwayLC bn</v>
      </c>
    </row>
    <row r="88" spans="1:30" s="37" customFormat="1" ht="62.5" customHeight="1">
      <c r="A88" s="1269"/>
      <c r="B88" s="1269"/>
      <c r="C88" s="1273"/>
      <c r="D88" s="1277"/>
      <c r="E88" s="937"/>
      <c r="F88" s="520" t="s">
        <v>116</v>
      </c>
      <c r="G88" s="522">
        <v>23.917160810691193</v>
      </c>
      <c r="H88" s="936">
        <v>2.6232409947782966</v>
      </c>
      <c r="I88" s="1219"/>
      <c r="J88" s="936">
        <v>21.293919815912897</v>
      </c>
      <c r="K88" s="1219"/>
      <c r="L88" s="931"/>
      <c r="M88" s="1219"/>
      <c r="N88" s="937"/>
      <c r="O88" s="520" t="s">
        <v>116</v>
      </c>
      <c r="P88" s="190">
        <v>14.603062217895378</v>
      </c>
      <c r="Q88" s="938">
        <v>6.3191432870165452</v>
      </c>
      <c r="R88" s="1219"/>
      <c r="S88" s="937"/>
      <c r="T88" s="520" t="s">
        <v>116</v>
      </c>
      <c r="U88" s="190">
        <v>8.2839189308788317</v>
      </c>
      <c r="V88" s="1219"/>
      <c r="W88" s="931"/>
      <c r="X88" s="931"/>
      <c r="Y88" s="1185"/>
      <c r="AA88" s="1226"/>
      <c r="AD88" s="33" t="str">
        <f>C87&amp;F88</f>
        <v>NorwayUSD bn</v>
      </c>
    </row>
    <row r="89" spans="1:30" ht="119.25" customHeight="1">
      <c r="A89" s="1269"/>
      <c r="B89" s="1269"/>
      <c r="C89" s="1257"/>
      <c r="D89" s="1254"/>
      <c r="E89" s="12"/>
      <c r="F89" s="53" t="s">
        <v>1485</v>
      </c>
      <c r="G89" s="17">
        <v>7.4022943167997886</v>
      </c>
      <c r="H89" s="716">
        <v>0.81188574433816507</v>
      </c>
      <c r="I89" s="1186"/>
      <c r="J89" s="933">
        <v>6.5904085724616239</v>
      </c>
      <c r="K89" s="1186"/>
      <c r="L89" s="929"/>
      <c r="M89" s="1186"/>
      <c r="N89" s="12"/>
      <c r="O89" s="53" t="s">
        <v>1485</v>
      </c>
      <c r="P89" s="104">
        <v>4.5196068763764252</v>
      </c>
      <c r="Q89" s="273">
        <v>1.9557571574137986</v>
      </c>
      <c r="R89" s="1186"/>
      <c r="S89" s="12"/>
      <c r="T89" s="53" t="s">
        <v>117</v>
      </c>
      <c r="U89" s="17">
        <v>2.563849718962627</v>
      </c>
      <c r="V89" s="1186"/>
      <c r="W89" s="929"/>
      <c r="X89" s="929"/>
      <c r="Y89" s="1186"/>
      <c r="Z89" s="52"/>
      <c r="AA89" s="1227"/>
      <c r="AD89" s="33" t="s">
        <v>1487</v>
      </c>
    </row>
    <row r="90" spans="1:30" ht="182.5" customHeight="1">
      <c r="A90" s="1012"/>
      <c r="B90" s="1012"/>
      <c r="C90" s="1255" t="s">
        <v>1023</v>
      </c>
      <c r="D90" s="1252" t="s">
        <v>570</v>
      </c>
      <c r="E90" s="16"/>
      <c r="F90" s="38" t="s">
        <v>115</v>
      </c>
      <c r="G90" s="62">
        <v>12.100000000000001</v>
      </c>
      <c r="H90" s="1022">
        <v>2.2000000000000002</v>
      </c>
      <c r="I90" s="1270" t="s">
        <v>1667</v>
      </c>
      <c r="J90" s="1078">
        <v>9.9</v>
      </c>
      <c r="K90" s="1258" t="s">
        <v>1668</v>
      </c>
      <c r="L90" s="1076">
        <v>1.1000000000000001</v>
      </c>
      <c r="M90" s="1073" t="s">
        <v>1577</v>
      </c>
      <c r="N90" s="16"/>
      <c r="O90" s="38" t="s">
        <v>115</v>
      </c>
      <c r="P90" s="62">
        <v>11.5</v>
      </c>
      <c r="Q90" s="1082"/>
      <c r="R90" s="1073"/>
      <c r="S90" s="16"/>
      <c r="T90" s="38" t="s">
        <v>115</v>
      </c>
      <c r="U90" s="62">
        <v>11.5</v>
      </c>
      <c r="V90" s="1184" t="s">
        <v>1669</v>
      </c>
      <c r="W90" s="1073"/>
      <c r="X90" s="1073"/>
      <c r="Y90" s="1073"/>
      <c r="Z90" s="15"/>
      <c r="AA90" s="1080"/>
      <c r="AD90" s="33" t="str">
        <f>C90&amp;F90</f>
        <v>PortugalLC bn</v>
      </c>
    </row>
    <row r="91" spans="1:30" ht="120" customHeight="1">
      <c r="A91" s="1012"/>
      <c r="B91" s="1012"/>
      <c r="C91" s="1256"/>
      <c r="D91" s="1253"/>
      <c r="E91" s="35"/>
      <c r="F91" s="175" t="s">
        <v>116</v>
      </c>
      <c r="G91" s="82">
        <v>13.809510498188393</v>
      </c>
      <c r="H91" s="82">
        <v>2.5108200905797076</v>
      </c>
      <c r="I91" s="1185"/>
      <c r="J91" s="82">
        <v>11.298690407608685</v>
      </c>
      <c r="K91" s="1191"/>
      <c r="L91" s="82">
        <v>1.2554100452898538</v>
      </c>
      <c r="M91" s="1074"/>
      <c r="N91" s="35"/>
      <c r="O91" s="175" t="s">
        <v>116</v>
      </c>
      <c r="P91" s="82">
        <v>13.124741382575744</v>
      </c>
      <c r="Q91" s="279"/>
      <c r="R91" s="1074"/>
      <c r="S91" s="35"/>
      <c r="T91" s="175" t="s">
        <v>116</v>
      </c>
      <c r="U91" s="82">
        <v>13.124741382575744</v>
      </c>
      <c r="V91" s="1185"/>
      <c r="W91" s="1074"/>
      <c r="X91" s="1074"/>
      <c r="Y91" s="1074"/>
      <c r="AA91" s="1081"/>
      <c r="AD91" s="33" t="str">
        <f>C90&amp;F91</f>
        <v>PortugalUSD bn</v>
      </c>
    </row>
    <row r="92" spans="1:30" ht="339" customHeight="1">
      <c r="A92" s="1012"/>
      <c r="B92" s="1012"/>
      <c r="C92" s="1257"/>
      <c r="D92" s="1254"/>
      <c r="E92" s="12"/>
      <c r="F92" s="53" t="s">
        <v>117</v>
      </c>
      <c r="G92" s="17">
        <v>6.047351260148055</v>
      </c>
      <c r="H92" s="17">
        <v>1.0995184109360101</v>
      </c>
      <c r="I92" s="1186"/>
      <c r="J92" s="17">
        <v>4.9478328492120447</v>
      </c>
      <c r="K92" s="1192"/>
      <c r="L92" s="17">
        <v>0.54975920546800505</v>
      </c>
      <c r="M92" s="1075"/>
      <c r="N92" s="12"/>
      <c r="O92" s="53" t="s">
        <v>117</v>
      </c>
      <c r="P92" s="17">
        <v>5.7474826026200523</v>
      </c>
      <c r="Q92" s="273"/>
      <c r="R92" s="1075"/>
      <c r="S92" s="12"/>
      <c r="T92" s="53" t="s">
        <v>117</v>
      </c>
      <c r="U92" s="17">
        <v>5.7474826026200523</v>
      </c>
      <c r="V92" s="1186"/>
      <c r="W92" s="1075"/>
      <c r="X92" s="1075"/>
      <c r="Y92" s="1074"/>
      <c r="AA92" s="1081"/>
      <c r="AD92" s="33" t="str">
        <f>C90&amp;F92</f>
        <v>Portugal% GDP</v>
      </c>
    </row>
    <row r="93" spans="1:30" s="37" customFormat="1" ht="80.25" customHeight="1">
      <c r="A93" s="1269">
        <v>0</v>
      </c>
      <c r="B93" s="1269" t="s">
        <v>858</v>
      </c>
      <c r="C93" s="1273" t="s">
        <v>31</v>
      </c>
      <c r="D93" s="1277" t="s">
        <v>571</v>
      </c>
      <c r="F93" s="175" t="s">
        <v>115</v>
      </c>
      <c r="G93" s="118">
        <v>86.300000000000011</v>
      </c>
      <c r="H93" s="1077">
        <v>18.600000000000001</v>
      </c>
      <c r="I93" s="1185" t="s">
        <v>1642</v>
      </c>
      <c r="J93" s="1079">
        <v>67.7</v>
      </c>
      <c r="K93" s="1185" t="s">
        <v>1502</v>
      </c>
      <c r="L93" s="1074"/>
      <c r="M93" s="1200"/>
      <c r="O93" s="520" t="s">
        <v>115</v>
      </c>
      <c r="P93" s="118">
        <v>22</v>
      </c>
      <c r="Q93" s="265">
        <v>22</v>
      </c>
      <c r="R93" s="1185" t="s">
        <v>1417</v>
      </c>
      <c r="T93" s="520" t="s">
        <v>115</v>
      </c>
      <c r="U93" s="1011"/>
      <c r="V93" s="1185"/>
      <c r="W93" s="1074"/>
      <c r="X93" s="1074"/>
      <c r="Y93" s="1074"/>
      <c r="AA93" s="1074"/>
      <c r="AD93" s="33" t="str">
        <f>C93&amp;F93</f>
        <v>SingaporeLC bn</v>
      </c>
    </row>
    <row r="94" spans="1:30" s="225" customFormat="1" ht="58.5" customHeight="1">
      <c r="A94" s="1269"/>
      <c r="B94" s="1269"/>
      <c r="C94" s="1273"/>
      <c r="D94" s="1277"/>
      <c r="E94" s="937"/>
      <c r="F94" s="520" t="s">
        <v>116</v>
      </c>
      <c r="G94" s="522">
        <v>62.546527888588585</v>
      </c>
      <c r="H94" s="470">
        <v>13.480479938907852</v>
      </c>
      <c r="I94" s="1219"/>
      <c r="J94" s="522">
        <v>49.06604794968073</v>
      </c>
      <c r="K94" s="1219"/>
      <c r="L94" s="931"/>
      <c r="M94" s="1200"/>
      <c r="N94" s="937"/>
      <c r="O94" s="520" t="s">
        <v>116</v>
      </c>
      <c r="P94" s="190">
        <v>15.94465369118133</v>
      </c>
      <c r="Q94" s="266">
        <v>15.94465369118133</v>
      </c>
      <c r="R94" s="1219"/>
      <c r="S94" s="937"/>
      <c r="T94" s="520" t="s">
        <v>116</v>
      </c>
      <c r="U94" s="936"/>
      <c r="V94" s="1219"/>
      <c r="W94" s="931"/>
      <c r="X94" s="931"/>
      <c r="Y94" s="206"/>
      <c r="Z94" s="37"/>
      <c r="AA94" s="206"/>
      <c r="AD94" s="33" t="str">
        <f>C93&amp;F94</f>
        <v>SingaporeUSD bn</v>
      </c>
    </row>
    <row r="95" spans="1:30" ht="46.5" customHeight="1">
      <c r="A95" s="1269"/>
      <c r="B95" s="1269"/>
      <c r="C95" s="1257"/>
      <c r="D95" s="1254"/>
      <c r="E95" s="6"/>
      <c r="F95" s="520" t="s">
        <v>117</v>
      </c>
      <c r="G95" s="470">
        <v>18.39709108521307</v>
      </c>
      <c r="H95" s="17">
        <v>3.9650740925256436</v>
      </c>
      <c r="I95" s="1186"/>
      <c r="J95" s="17">
        <v>14.432016992687425</v>
      </c>
      <c r="K95" s="1186"/>
      <c r="L95" s="931"/>
      <c r="M95" s="1201"/>
      <c r="N95" s="6"/>
      <c r="O95" s="520" t="s">
        <v>117</v>
      </c>
      <c r="P95" s="17">
        <v>4.6898725825572125</v>
      </c>
      <c r="Q95" s="269">
        <v>4.6898725825572125</v>
      </c>
      <c r="R95" s="1186"/>
      <c r="S95" s="6"/>
      <c r="T95" s="520" t="s">
        <v>117</v>
      </c>
      <c r="U95" s="470"/>
      <c r="V95" s="1186"/>
      <c r="W95" s="931"/>
      <c r="X95" s="931"/>
      <c r="Y95" s="206"/>
      <c r="AA95" s="219"/>
      <c r="AD95" s="33" t="str">
        <f>C93&amp;F95</f>
        <v>Singapore% GDP</v>
      </c>
    </row>
    <row r="96" spans="1:30" s="15" customFormat="1" ht="136.5" customHeight="1">
      <c r="A96" s="1269">
        <v>0</v>
      </c>
      <c r="B96" s="1269" t="s">
        <v>858</v>
      </c>
      <c r="C96" s="1273" t="s">
        <v>21</v>
      </c>
      <c r="D96" s="1252" t="s">
        <v>571</v>
      </c>
      <c r="F96" s="38" t="s">
        <v>115</v>
      </c>
      <c r="G96" s="177">
        <v>207</v>
      </c>
      <c r="H96" s="960">
        <v>38</v>
      </c>
      <c r="I96" s="1278" t="s">
        <v>1505</v>
      </c>
      <c r="J96" s="62">
        <v>169</v>
      </c>
      <c r="K96" s="1190" t="s">
        <v>1344</v>
      </c>
      <c r="L96" s="930">
        <v>335</v>
      </c>
      <c r="M96" s="1270" t="s">
        <v>1345</v>
      </c>
      <c r="O96" s="38" t="s">
        <v>115</v>
      </c>
      <c r="P96" s="177">
        <v>261.7</v>
      </c>
      <c r="Q96" s="268">
        <v>11.7</v>
      </c>
      <c r="R96" s="1190" t="s">
        <v>1222</v>
      </c>
      <c r="T96" s="38" t="s">
        <v>115</v>
      </c>
      <c r="U96" s="102">
        <v>250</v>
      </c>
      <c r="V96" s="1190" t="s">
        <v>1223</v>
      </c>
      <c r="W96" s="928"/>
      <c r="X96" s="928"/>
      <c r="Y96" s="22"/>
      <c r="AA96" s="205"/>
      <c r="AD96" s="33" t="str">
        <f>C96&amp;F96</f>
        <v>SwedenLC bn</v>
      </c>
    </row>
    <row r="97" spans="1:30" s="37" customFormat="1" ht="110.15" customHeight="1">
      <c r="A97" s="1269"/>
      <c r="B97" s="1269"/>
      <c r="C97" s="1273"/>
      <c r="D97" s="1277"/>
      <c r="E97" s="3"/>
      <c r="F97" s="520" t="s">
        <v>116</v>
      </c>
      <c r="G97" s="522">
        <v>22.474815922163589</v>
      </c>
      <c r="H97" s="470">
        <v>4.125811618561432</v>
      </c>
      <c r="I97" s="1279"/>
      <c r="J97" s="522">
        <v>18.349004303602158</v>
      </c>
      <c r="K97" s="1238"/>
      <c r="L97" s="190">
        <v>36.372286637317892</v>
      </c>
      <c r="M97" s="1219"/>
      <c r="N97" s="3"/>
      <c r="O97" s="520" t="s">
        <v>116</v>
      </c>
      <c r="P97" s="190">
        <v>28.413813173092809</v>
      </c>
      <c r="Q97" s="470">
        <v>1.2703156825570725</v>
      </c>
      <c r="R97" s="1238"/>
      <c r="S97" s="3"/>
      <c r="T97" s="520" t="s">
        <v>116</v>
      </c>
      <c r="U97" s="522">
        <v>27.143497490535736</v>
      </c>
      <c r="V97" s="1238"/>
      <c r="W97" s="931"/>
      <c r="X97" s="931"/>
      <c r="Y97" s="58"/>
      <c r="Z97" s="55"/>
      <c r="AA97" s="206"/>
      <c r="AD97" s="33" t="str">
        <f>C96&amp;F97</f>
        <v>SwedenUSD bn</v>
      </c>
    </row>
    <row r="98" spans="1:30" ht="93.65" customHeight="1">
      <c r="A98" s="1269"/>
      <c r="B98" s="1269"/>
      <c r="C98" s="1257"/>
      <c r="D98" s="1254"/>
      <c r="E98" s="12"/>
      <c r="F98" s="53" t="s">
        <v>117</v>
      </c>
      <c r="G98" s="17">
        <v>4.1538214254109116</v>
      </c>
      <c r="H98" s="17">
        <v>0.76253726650055398</v>
      </c>
      <c r="I98" s="1280"/>
      <c r="J98" s="17">
        <v>3.3912841589103584</v>
      </c>
      <c r="K98" s="1192"/>
      <c r="L98" s="933">
        <v>6.7223680073075149</v>
      </c>
      <c r="M98" s="1186"/>
      <c r="N98" s="12"/>
      <c r="O98" s="53" t="s">
        <v>117</v>
      </c>
      <c r="P98" s="17">
        <v>5.2514737537682885</v>
      </c>
      <c r="Q98" s="17">
        <v>0.2347812110014863</v>
      </c>
      <c r="R98" s="1192"/>
      <c r="S98" s="12"/>
      <c r="T98" s="53" t="s">
        <v>117</v>
      </c>
      <c r="U98" s="17">
        <v>5.0166925427668021</v>
      </c>
      <c r="V98" s="1192"/>
      <c r="W98" s="929"/>
      <c r="X98" s="929"/>
      <c r="Y98" s="207"/>
      <c r="Z98" s="52"/>
      <c r="AA98" s="220"/>
      <c r="AD98" s="33" t="str">
        <f>C96&amp;F98</f>
        <v>Sweden% GDP</v>
      </c>
    </row>
    <row r="99" spans="1:30" ht="58.5" customHeight="1">
      <c r="A99" s="1269">
        <v>0</v>
      </c>
      <c r="B99" s="1269" t="s">
        <v>858</v>
      </c>
      <c r="C99" s="1273" t="s">
        <v>558</v>
      </c>
      <c r="D99" s="1252" t="s">
        <v>571</v>
      </c>
      <c r="E99" s="15"/>
      <c r="F99" s="38" t="s">
        <v>115</v>
      </c>
      <c r="G99" s="522">
        <v>55.844000000000001</v>
      </c>
      <c r="H99" s="1009">
        <v>7.2190000000000003</v>
      </c>
      <c r="I99" s="1190" t="s">
        <v>1578</v>
      </c>
      <c r="J99" s="1009">
        <v>48.625</v>
      </c>
      <c r="K99" s="1190" t="s">
        <v>1579</v>
      </c>
      <c r="L99" s="939"/>
      <c r="M99" s="1184"/>
      <c r="N99" s="6"/>
      <c r="O99" s="38" t="s">
        <v>115</v>
      </c>
      <c r="P99" s="177">
        <v>43.875</v>
      </c>
      <c r="Q99" s="269">
        <v>1.1000000000000001</v>
      </c>
      <c r="R99" s="1193" t="s">
        <v>1580</v>
      </c>
      <c r="S99" s="6"/>
      <c r="T99" s="38" t="s">
        <v>115</v>
      </c>
      <c r="U99" s="522">
        <v>42.774999999999999</v>
      </c>
      <c r="V99" s="1193" t="s">
        <v>1475</v>
      </c>
      <c r="W99" s="931"/>
      <c r="X99" s="931"/>
      <c r="Y99" s="491"/>
      <c r="AA99" s="493"/>
      <c r="AD99" s="33" t="str">
        <f>C99&amp;F99</f>
        <v>SwitzerlandLC bn</v>
      </c>
    </row>
    <row r="100" spans="1:30" ht="58.5" customHeight="1">
      <c r="A100" s="1269"/>
      <c r="B100" s="1269"/>
      <c r="C100" s="1273"/>
      <c r="D100" s="1277"/>
      <c r="E100" s="3"/>
      <c r="F100" s="520" t="s">
        <v>116</v>
      </c>
      <c r="G100" s="522">
        <v>59.481808256628398</v>
      </c>
      <c r="H100" s="470">
        <v>7.6892624776985965</v>
      </c>
      <c r="I100" s="1238"/>
      <c r="J100" s="522">
        <v>51.792545778929799</v>
      </c>
      <c r="K100" s="1238"/>
      <c r="L100" s="522"/>
      <c r="M100" s="1219"/>
      <c r="N100" s="6"/>
      <c r="O100" s="520" t="s">
        <v>116</v>
      </c>
      <c r="P100" s="190">
        <v>46.733119713121745</v>
      </c>
      <c r="Q100" s="470">
        <v>1.1716565626081807</v>
      </c>
      <c r="R100" s="1216"/>
      <c r="S100" s="6"/>
      <c r="T100" s="520" t="s">
        <v>116</v>
      </c>
      <c r="U100" s="522">
        <v>45.561463150513568</v>
      </c>
      <c r="V100" s="1216"/>
      <c r="W100" s="931"/>
      <c r="X100" s="931"/>
      <c r="Y100" s="491"/>
      <c r="AA100" s="493"/>
      <c r="AD100" s="33" t="str">
        <f>C99&amp;F100</f>
        <v>SwitzerlandUSD bn</v>
      </c>
    </row>
    <row r="101" spans="1:30" ht="58.5" customHeight="1">
      <c r="A101" s="1269"/>
      <c r="B101" s="1269"/>
      <c r="C101" s="1257"/>
      <c r="D101" s="1254"/>
      <c r="E101" s="12"/>
      <c r="F101" s="53" t="s">
        <v>117</v>
      </c>
      <c r="G101" s="17">
        <v>7.9111095244692748</v>
      </c>
      <c r="H101" s="17">
        <v>1.0226756617925596</v>
      </c>
      <c r="I101" s="1192"/>
      <c r="J101" s="17">
        <v>6.8884338626767159</v>
      </c>
      <c r="K101" s="1192"/>
      <c r="L101" s="17"/>
      <c r="M101" s="1186"/>
      <c r="N101" s="12"/>
      <c r="O101" s="53" t="s">
        <v>117</v>
      </c>
      <c r="P101" s="17">
        <v>6.2155277269910725</v>
      </c>
      <c r="Q101" s="17">
        <v>0.15583089457983315</v>
      </c>
      <c r="R101" s="1197"/>
      <c r="S101" s="12"/>
      <c r="T101" s="53" t="s">
        <v>117</v>
      </c>
      <c r="U101" s="17">
        <v>6.0596968324112392</v>
      </c>
      <c r="V101" s="1197"/>
      <c r="W101" s="929"/>
      <c r="X101" s="929"/>
      <c r="Y101" s="491"/>
      <c r="AA101" s="493"/>
      <c r="AD101" s="33" t="str">
        <f>C99&amp;F101</f>
        <v>Switzerland% GDP</v>
      </c>
    </row>
    <row r="102" spans="1:30" s="1098" customFormat="1" ht="90.65" customHeight="1">
      <c r="A102" s="1271">
        <v>0</v>
      </c>
      <c r="B102" s="1271" t="s">
        <v>861</v>
      </c>
      <c r="C102" s="1298" t="s">
        <v>41</v>
      </c>
      <c r="D102" s="1274" t="s">
        <v>570</v>
      </c>
      <c r="F102" s="1099" t="s">
        <v>115</v>
      </c>
      <c r="G102" s="121">
        <v>36.200000000000003</v>
      </c>
      <c r="H102" s="1096">
        <v>18.2</v>
      </c>
      <c r="I102" s="1278" t="s">
        <v>1552</v>
      </c>
      <c r="J102" s="121">
        <v>18</v>
      </c>
      <c r="K102" s="1190" t="s">
        <v>1656</v>
      </c>
      <c r="L102" s="1097"/>
      <c r="M102" s="1190" t="s">
        <v>1657</v>
      </c>
      <c r="O102" s="1099" t="s">
        <v>115</v>
      </c>
      <c r="P102" s="1100">
        <v>26</v>
      </c>
      <c r="Q102" s="1101"/>
      <c r="R102" s="1094"/>
      <c r="T102" s="1099" t="s">
        <v>115</v>
      </c>
      <c r="U102" s="121">
        <v>26</v>
      </c>
      <c r="V102" s="1190" t="s">
        <v>1658</v>
      </c>
      <c r="W102" s="1097"/>
      <c r="X102" s="1094"/>
      <c r="Y102" s="1094"/>
      <c r="AA102" s="1094"/>
      <c r="AD102" s="1102" t="str">
        <f>C102&amp;F102</f>
        <v>AlbaniaLC bn</v>
      </c>
    </row>
    <row r="103" spans="1:30" s="1102" customFormat="1" ht="83.5" customHeight="1">
      <c r="A103" s="1271"/>
      <c r="B103" s="1271"/>
      <c r="C103" s="1298"/>
      <c r="D103" s="1275"/>
      <c r="E103" s="1098"/>
      <c r="F103" s="1099" t="s">
        <v>116</v>
      </c>
      <c r="G103" s="172">
        <v>0.33382004491368428</v>
      </c>
      <c r="H103" s="172">
        <v>0.16783217727704566</v>
      </c>
      <c r="I103" s="1304"/>
      <c r="J103" s="172">
        <v>0.16598786763663859</v>
      </c>
      <c r="K103" s="1238"/>
      <c r="L103" s="1094"/>
      <c r="M103" s="1191"/>
      <c r="N103" s="1098"/>
      <c r="O103" s="1099" t="s">
        <v>116</v>
      </c>
      <c r="P103" s="1103">
        <v>0.23976025325292241</v>
      </c>
      <c r="Q103" s="1101"/>
      <c r="R103" s="1094"/>
      <c r="S103" s="1098"/>
      <c r="T103" s="1099" t="s">
        <v>116</v>
      </c>
      <c r="U103" s="172">
        <v>0.23976025325292241</v>
      </c>
      <c r="V103" s="1191"/>
      <c r="W103" s="1094"/>
      <c r="X103" s="1094"/>
      <c r="Y103" s="1094"/>
      <c r="Z103" s="1098"/>
      <c r="AA103" s="1094"/>
      <c r="AD103" s="1102" t="str">
        <f>C102&amp;F103</f>
        <v>AlbaniaUSD bn</v>
      </c>
    </row>
    <row r="104" spans="1:30" s="1102" customFormat="1" ht="106.5" customHeight="1">
      <c r="A104" s="1271"/>
      <c r="B104" s="1271"/>
      <c r="C104" s="1299"/>
      <c r="D104" s="1276"/>
      <c r="E104" s="1104"/>
      <c r="F104" s="1105" t="s">
        <v>117</v>
      </c>
      <c r="G104" s="173">
        <v>2.2512745821149296</v>
      </c>
      <c r="H104" s="173">
        <v>1.1318562816157931</v>
      </c>
      <c r="I104" s="1280"/>
      <c r="J104" s="173">
        <v>1.119418300499136</v>
      </c>
      <c r="K104" s="1192"/>
      <c r="L104" s="1095"/>
      <c r="M104" s="1192"/>
      <c r="N104" s="1104"/>
      <c r="O104" s="1105" t="s">
        <v>117</v>
      </c>
      <c r="P104" s="1106">
        <v>1.6169375451654189</v>
      </c>
      <c r="Q104" s="1037"/>
      <c r="R104" s="1107"/>
      <c r="S104" s="1104"/>
      <c r="T104" s="1105" t="s">
        <v>117</v>
      </c>
      <c r="U104" s="173">
        <v>1.6169375451654189</v>
      </c>
      <c r="V104" s="1192"/>
      <c r="W104" s="1095"/>
      <c r="X104" s="1095"/>
      <c r="Y104" s="1095"/>
      <c r="Z104" s="1108"/>
      <c r="AA104" s="1109"/>
      <c r="AD104" s="1102" t="str">
        <f>C102&amp;F104</f>
        <v>Albania% GDP</v>
      </c>
    </row>
    <row r="105" spans="1:30" ht="172.5" customHeight="1">
      <c r="A105" s="1268">
        <v>0</v>
      </c>
      <c r="B105" s="1268" t="s">
        <v>861</v>
      </c>
      <c r="C105" s="1256" t="s">
        <v>27</v>
      </c>
      <c r="D105" s="1252" t="s">
        <v>570</v>
      </c>
      <c r="E105" s="15"/>
      <c r="F105" s="38" t="s">
        <v>115</v>
      </c>
      <c r="G105" s="958">
        <v>6.2720000000000002</v>
      </c>
      <c r="H105" s="958">
        <v>1.7049999999999998</v>
      </c>
      <c r="I105" s="1184" t="s">
        <v>1530</v>
      </c>
      <c r="J105" s="286">
        <v>4.5670000000000002</v>
      </c>
      <c r="K105" s="1258" t="s">
        <v>1554</v>
      </c>
      <c r="L105" s="956">
        <v>0.6</v>
      </c>
      <c r="M105" s="1184" t="s">
        <v>1480</v>
      </c>
      <c r="N105" s="15"/>
      <c r="O105" s="175" t="s">
        <v>115</v>
      </c>
      <c r="P105" s="741">
        <v>4.6219999999999999</v>
      </c>
      <c r="Q105" s="268">
        <v>1.6220000000000001</v>
      </c>
      <c r="R105" s="1184" t="s">
        <v>1466</v>
      </c>
      <c r="S105" s="15"/>
      <c r="T105" s="175" t="s">
        <v>115</v>
      </c>
      <c r="U105" s="286"/>
      <c r="V105" s="1184"/>
      <c r="W105" s="286">
        <v>3</v>
      </c>
      <c r="X105" s="1184" t="s">
        <v>1400</v>
      </c>
      <c r="Y105" s="1184" t="s">
        <v>78</v>
      </c>
      <c r="Z105" s="15"/>
      <c r="AA105" s="736"/>
      <c r="AD105" s="33" t="str">
        <f>C105&amp;F105</f>
        <v>BulgariaLC bn</v>
      </c>
    </row>
    <row r="106" spans="1:30" s="35" customFormat="1" ht="155.5" customHeight="1">
      <c r="A106" s="1268"/>
      <c r="B106" s="1268"/>
      <c r="C106" s="1256"/>
      <c r="D106" s="1253"/>
      <c r="E106" s="55"/>
      <c r="F106" s="175" t="s">
        <v>116</v>
      </c>
      <c r="G106" s="258">
        <v>3.6598885495522917</v>
      </c>
      <c r="H106" s="258">
        <v>0.9949154937797603</v>
      </c>
      <c r="I106" s="1308"/>
      <c r="J106" s="258">
        <v>2.6649730557725313</v>
      </c>
      <c r="K106" s="1238"/>
      <c r="L106" s="258">
        <v>0.35011688930666052</v>
      </c>
      <c r="M106" s="1185"/>
      <c r="N106" s="55"/>
      <c r="O106" s="175" t="s">
        <v>116</v>
      </c>
      <c r="P106" s="258">
        <v>2.6970671039589753</v>
      </c>
      <c r="Q106" s="269">
        <v>0.94648265742567239</v>
      </c>
      <c r="R106" s="1219"/>
      <c r="S106" s="55"/>
      <c r="T106" s="175" t="s">
        <v>116</v>
      </c>
      <c r="U106" s="258"/>
      <c r="V106" s="1185"/>
      <c r="W106" s="258">
        <v>1.7505844465333027</v>
      </c>
      <c r="X106" s="1219"/>
      <c r="Y106" s="1185"/>
      <c r="Z106" s="55"/>
      <c r="AA106" s="737"/>
      <c r="AD106" s="33" t="str">
        <f>C105&amp;F106</f>
        <v>BulgariaUSD bn</v>
      </c>
    </row>
    <row r="107" spans="1:30" ht="70.5" customHeight="1">
      <c r="A107" s="1268"/>
      <c r="B107" s="1268"/>
      <c r="C107" s="1257"/>
      <c r="D107" s="1254"/>
      <c r="E107" s="12"/>
      <c r="F107" s="53" t="s">
        <v>117</v>
      </c>
      <c r="G107" s="252">
        <v>5.2881375195675631</v>
      </c>
      <c r="H107" s="252">
        <v>1.4375437612982611</v>
      </c>
      <c r="I107" s="1204"/>
      <c r="J107" s="252">
        <v>3.8505937582693015</v>
      </c>
      <c r="K107" s="1192"/>
      <c r="L107" s="252">
        <v>0.50588050250965211</v>
      </c>
      <c r="M107" s="1186"/>
      <c r="N107" s="12"/>
      <c r="O107" s="53" t="s">
        <v>117</v>
      </c>
      <c r="P107" s="252">
        <v>3.8969661376660198</v>
      </c>
      <c r="Q107" s="252">
        <v>1.3675636251177596</v>
      </c>
      <c r="R107" s="1186"/>
      <c r="S107" s="12"/>
      <c r="T107" s="53" t="s">
        <v>117</v>
      </c>
      <c r="U107" s="252"/>
      <c r="V107" s="1186"/>
      <c r="W107" s="252">
        <v>2.5294025125482604</v>
      </c>
      <c r="X107" s="1186"/>
      <c r="Y107" s="1186"/>
      <c r="Z107" s="52"/>
      <c r="AA107" s="740"/>
      <c r="AD107" s="33" t="str">
        <f>C105&amp;F107</f>
        <v>Bulgaria% GDP</v>
      </c>
    </row>
    <row r="108" spans="1:30" s="35" customFormat="1" ht="50.5" customHeight="1">
      <c r="A108" s="1268">
        <v>0</v>
      </c>
      <c r="B108" s="1268" t="s">
        <v>861</v>
      </c>
      <c r="C108" s="1256" t="s">
        <v>42</v>
      </c>
      <c r="D108" s="1266" t="s">
        <v>571</v>
      </c>
      <c r="E108" s="16"/>
      <c r="F108" s="38" t="s">
        <v>115</v>
      </c>
      <c r="G108" s="1093">
        <v>25400</v>
      </c>
      <c r="H108" s="186">
        <v>1201.346</v>
      </c>
      <c r="I108" s="1278" t="s">
        <v>1531</v>
      </c>
      <c r="J108" s="186">
        <v>24198.653999999999</v>
      </c>
      <c r="K108" s="1190" t="s">
        <v>1544</v>
      </c>
      <c r="L108" s="186">
        <v>3204</v>
      </c>
      <c r="M108" s="1238" t="s">
        <v>1532</v>
      </c>
      <c r="N108" s="16"/>
      <c r="O108" s="175" t="s">
        <v>115</v>
      </c>
      <c r="P108" s="282">
        <v>5005.6930000000002</v>
      </c>
      <c r="Q108" s="282">
        <v>2603</v>
      </c>
      <c r="R108" s="1238" t="s">
        <v>1533</v>
      </c>
      <c r="S108" s="16"/>
      <c r="T108" s="175" t="s">
        <v>115</v>
      </c>
      <c r="U108" s="282"/>
      <c r="V108" s="1238"/>
      <c r="W108" s="102">
        <v>2402.6930000000002</v>
      </c>
      <c r="X108" s="1233" t="s">
        <v>1159</v>
      </c>
      <c r="Y108" s="1184" t="s">
        <v>244</v>
      </c>
      <c r="Z108" s="16"/>
      <c r="AA108" s="1225" t="s">
        <v>50</v>
      </c>
      <c r="AD108" s="33" t="str">
        <f>C108&amp;F108</f>
        <v>ChileLC bn</v>
      </c>
    </row>
    <row r="109" spans="1:30" s="37" customFormat="1" ht="45.65" customHeight="1">
      <c r="A109" s="1268"/>
      <c r="B109" s="1268"/>
      <c r="C109" s="1256"/>
      <c r="D109" s="1266"/>
      <c r="E109" s="35"/>
      <c r="F109" s="175" t="s">
        <v>116</v>
      </c>
      <c r="G109" s="251">
        <v>32.063993334728984</v>
      </c>
      <c r="H109" s="258">
        <v>1.5165334699489497</v>
      </c>
      <c r="I109" s="1279"/>
      <c r="J109" s="251">
        <v>30.547459864780031</v>
      </c>
      <c r="K109" s="1238"/>
      <c r="L109" s="258">
        <v>4.0446076631681755</v>
      </c>
      <c r="M109" s="1238"/>
      <c r="N109" s="35"/>
      <c r="O109" s="175" t="s">
        <v>116</v>
      </c>
      <c r="P109" s="412">
        <v>6.3189963380984064</v>
      </c>
      <c r="Q109" s="258">
        <v>3.2859281358385646</v>
      </c>
      <c r="R109" s="1238"/>
      <c r="S109" s="35"/>
      <c r="T109" s="175" t="s">
        <v>116</v>
      </c>
      <c r="U109" s="258"/>
      <c r="V109" s="1238"/>
      <c r="W109" s="258">
        <v>3.0330682022598419</v>
      </c>
      <c r="X109" s="1247"/>
      <c r="Y109" s="1185"/>
      <c r="Z109" s="35"/>
      <c r="AA109" s="1226"/>
      <c r="AD109" s="33" t="str">
        <f>C108&amp;F109</f>
        <v>ChileUSD bn</v>
      </c>
    </row>
    <row r="110" spans="1:30" ht="42.65" customHeight="1">
      <c r="A110" s="1268"/>
      <c r="B110" s="1268"/>
      <c r="C110" s="1257"/>
      <c r="D110" s="1261"/>
      <c r="E110" s="12"/>
      <c r="F110" s="53" t="s">
        <v>117</v>
      </c>
      <c r="G110" s="252">
        <v>12.682470249573225</v>
      </c>
      <c r="H110" s="252">
        <v>0.59984389387573989</v>
      </c>
      <c r="I110" s="1280"/>
      <c r="J110" s="252">
        <v>12.082626355697483</v>
      </c>
      <c r="K110" s="1192"/>
      <c r="L110" s="584">
        <v>1.5997887669146695</v>
      </c>
      <c r="M110" s="1192"/>
      <c r="N110" s="12"/>
      <c r="O110" s="53" t="s">
        <v>117</v>
      </c>
      <c r="P110" s="499">
        <v>2.4993918327164151</v>
      </c>
      <c r="Q110" s="252">
        <v>1.2997035456550827</v>
      </c>
      <c r="R110" s="1192"/>
      <c r="S110" s="12"/>
      <c r="T110" s="53" t="s">
        <v>117</v>
      </c>
      <c r="U110" s="252"/>
      <c r="V110" s="1192"/>
      <c r="W110" s="252">
        <v>1.1996882870613323</v>
      </c>
      <c r="X110" s="1248"/>
      <c r="Y110" s="1186"/>
      <c r="Z110" s="52"/>
      <c r="AA110" s="1227"/>
      <c r="AD110" s="33" t="str">
        <f>C108&amp;F110</f>
        <v>Chile% GDP</v>
      </c>
    </row>
    <row r="111" spans="1:30" s="35" customFormat="1" ht="115.5" customHeight="1">
      <c r="A111" s="1268">
        <v>0</v>
      </c>
      <c r="B111" s="1268" t="s">
        <v>861</v>
      </c>
      <c r="C111" s="1256" t="s">
        <v>34</v>
      </c>
      <c r="D111" s="1252" t="s">
        <v>570</v>
      </c>
      <c r="E111" s="16"/>
      <c r="F111" s="38" t="s">
        <v>115</v>
      </c>
      <c r="G111" s="186">
        <v>46304</v>
      </c>
      <c r="H111" s="186">
        <v>14312</v>
      </c>
      <c r="I111" s="1220" t="s">
        <v>1665</v>
      </c>
      <c r="J111" s="186">
        <v>31992</v>
      </c>
      <c r="K111" s="1184" t="s">
        <v>1666</v>
      </c>
      <c r="L111" s="526">
        <v>1780</v>
      </c>
      <c r="M111" s="1184" t="s">
        <v>766</v>
      </c>
      <c r="N111" s="16"/>
      <c r="O111" s="175" t="s">
        <v>115</v>
      </c>
      <c r="P111" s="186">
        <v>53990</v>
      </c>
      <c r="Q111" s="282">
        <v>28415</v>
      </c>
      <c r="R111" s="1228" t="s">
        <v>1247</v>
      </c>
      <c r="S111" s="16"/>
      <c r="T111" s="175" t="s">
        <v>115</v>
      </c>
      <c r="U111" s="186">
        <v>25575</v>
      </c>
      <c r="V111" s="1184" t="s">
        <v>1448</v>
      </c>
      <c r="W111" s="22"/>
      <c r="X111" s="22"/>
      <c r="Y111" s="22"/>
      <c r="Z111" s="16"/>
      <c r="AA111" s="205"/>
      <c r="AD111" s="33" t="str">
        <f>C111&amp;F111</f>
        <v>ColombiaLC bn</v>
      </c>
    </row>
    <row r="112" spans="1:30" s="35" customFormat="1" ht="115.5" customHeight="1">
      <c r="A112" s="1268"/>
      <c r="B112" s="1268"/>
      <c r="C112" s="1256"/>
      <c r="D112" s="1253"/>
      <c r="F112" s="175" t="s">
        <v>116</v>
      </c>
      <c r="G112" s="258">
        <v>12.537379304867349</v>
      </c>
      <c r="H112" s="258">
        <v>3.8751505833461795</v>
      </c>
      <c r="I112" s="1287"/>
      <c r="J112" s="258">
        <v>8.6622287215211689</v>
      </c>
      <c r="K112" s="1219"/>
      <c r="L112" s="258">
        <v>0.4819569618750838</v>
      </c>
      <c r="M112" s="1185"/>
      <c r="O112" s="175" t="s">
        <v>116</v>
      </c>
      <c r="P112" s="530">
        <v>14.618458635750434</v>
      </c>
      <c r="Q112" s="269">
        <v>7.6937118380227556</v>
      </c>
      <c r="R112" s="1219"/>
      <c r="T112" s="175" t="s">
        <v>116</v>
      </c>
      <c r="U112" s="258">
        <v>6.9247467977276784</v>
      </c>
      <c r="V112" s="1185"/>
      <c r="W112" s="58"/>
      <c r="X112" s="58"/>
      <c r="Y112" s="58"/>
      <c r="AA112" s="206"/>
      <c r="AD112" s="33" t="str">
        <f>C111&amp;F112</f>
        <v>ColombiaUSD bn</v>
      </c>
    </row>
    <row r="113" spans="1:30" ht="73" customHeight="1">
      <c r="A113" s="1268"/>
      <c r="B113" s="1268"/>
      <c r="C113" s="1257"/>
      <c r="D113" s="1254"/>
      <c r="E113" s="12"/>
      <c r="F113" s="53" t="s">
        <v>117</v>
      </c>
      <c r="G113" s="252">
        <v>4.6169047873067024</v>
      </c>
      <c r="H113" s="252">
        <v>1.4270287948327041</v>
      </c>
      <c r="I113" s="1222"/>
      <c r="J113" s="252">
        <v>3.1898759924739983</v>
      </c>
      <c r="K113" s="1186"/>
      <c r="L113" s="252">
        <v>0.17748122238696293</v>
      </c>
      <c r="M113" s="1186"/>
      <c r="N113" s="12"/>
      <c r="O113" s="53" t="s">
        <v>117</v>
      </c>
      <c r="P113" s="17">
        <v>5.3832647172315324</v>
      </c>
      <c r="Q113" s="267">
        <v>2.8332185023177257</v>
      </c>
      <c r="R113" s="1186"/>
      <c r="S113" s="12"/>
      <c r="T113" s="53" t="s">
        <v>117</v>
      </c>
      <c r="U113" s="252">
        <v>2.5500462149138068</v>
      </c>
      <c r="V113" s="1186"/>
      <c r="W113" s="297"/>
      <c r="X113" s="297"/>
      <c r="Y113" s="207"/>
      <c r="Z113" s="52"/>
      <c r="AA113" s="220"/>
      <c r="AD113" s="33" t="str">
        <f>C111&amp;F113</f>
        <v>Colombia% GDP</v>
      </c>
    </row>
    <row r="114" spans="1:30" s="37" customFormat="1" ht="92.5" customHeight="1">
      <c r="A114" s="1268">
        <v>0</v>
      </c>
      <c r="B114" s="1268" t="s">
        <v>861</v>
      </c>
      <c r="C114" s="1256" t="s">
        <v>23</v>
      </c>
      <c r="D114" s="1252" t="s">
        <v>571</v>
      </c>
      <c r="E114" s="14"/>
      <c r="F114" s="38" t="s">
        <v>115</v>
      </c>
      <c r="G114" s="957">
        <v>91.612000000000009</v>
      </c>
      <c r="H114" s="957">
        <v>12.941000000000001</v>
      </c>
      <c r="I114" s="1193" t="s">
        <v>1308</v>
      </c>
      <c r="J114" s="889">
        <v>78.671000000000006</v>
      </c>
      <c r="K114" s="1270" t="s">
        <v>1473</v>
      </c>
      <c r="L114" s="289"/>
      <c r="M114" s="1193" t="s">
        <v>1382</v>
      </c>
      <c r="N114" s="14"/>
      <c r="O114" s="175" t="s">
        <v>115</v>
      </c>
      <c r="P114" s="889">
        <v>7.44</v>
      </c>
      <c r="Q114" s="276">
        <v>7.44</v>
      </c>
      <c r="R114" s="1202"/>
      <c r="S114" s="14"/>
      <c r="T114" s="175" t="s">
        <v>115</v>
      </c>
      <c r="U114" s="176"/>
      <c r="V114" s="1184" t="s">
        <v>560</v>
      </c>
      <c r="W114" s="295"/>
      <c r="X114" s="1184" t="s">
        <v>1383</v>
      </c>
      <c r="Y114" s="205"/>
      <c r="Z114" s="14"/>
      <c r="AA114" s="205"/>
      <c r="AD114" s="33" t="str">
        <f>C114&amp;F114</f>
        <v>EgyptLC bn</v>
      </c>
    </row>
    <row r="115" spans="1:30" s="37" customFormat="1" ht="127.5" customHeight="1">
      <c r="A115" s="1268"/>
      <c r="B115" s="1268"/>
      <c r="C115" s="1256"/>
      <c r="D115" s="1253"/>
      <c r="F115" s="175" t="s">
        <v>116</v>
      </c>
      <c r="G115" s="258">
        <v>5.6957877830164128</v>
      </c>
      <c r="H115" s="258">
        <v>0.80458007357131589</v>
      </c>
      <c r="I115" s="1196"/>
      <c r="J115" s="476">
        <v>4.891207709445097</v>
      </c>
      <c r="K115" s="1196"/>
      <c r="L115" s="290"/>
      <c r="M115" s="1196"/>
      <c r="O115" s="175" t="s">
        <v>116</v>
      </c>
      <c r="P115" s="530">
        <v>0.46256670638826908</v>
      </c>
      <c r="Q115" s="890">
        <v>0.46256670638826908</v>
      </c>
      <c r="R115" s="1203"/>
      <c r="T115" s="175" t="s">
        <v>116</v>
      </c>
      <c r="U115" s="478"/>
      <c r="V115" s="1185"/>
      <c r="W115" s="296"/>
      <c r="X115" s="1185"/>
      <c r="Y115" s="206"/>
      <c r="AA115" s="206"/>
      <c r="AD115" s="33" t="str">
        <f>C114&amp;F115</f>
        <v>EgyptUSD bn</v>
      </c>
    </row>
    <row r="116" spans="1:30" ht="71.25" customHeight="1">
      <c r="A116" s="1268"/>
      <c r="B116" s="1268"/>
      <c r="C116" s="1257"/>
      <c r="D116" s="1254"/>
      <c r="E116" s="12"/>
      <c r="F116" s="53" t="s">
        <v>117</v>
      </c>
      <c r="G116" s="252">
        <v>1.5680273855370135</v>
      </c>
      <c r="H116" s="252">
        <v>0.22149764655541296</v>
      </c>
      <c r="I116" s="1197"/>
      <c r="J116" s="477">
        <v>1.3465297389816004</v>
      </c>
      <c r="K116" s="1197"/>
      <c r="L116" s="291"/>
      <c r="M116" s="1197"/>
      <c r="N116" s="12"/>
      <c r="O116" s="53" t="s">
        <v>117</v>
      </c>
      <c r="P116" s="17">
        <v>0.12734274711168164</v>
      </c>
      <c r="Q116" s="252">
        <v>0.12734274711168164</v>
      </c>
      <c r="R116" s="1204"/>
      <c r="S116" s="12"/>
      <c r="T116" s="53" t="s">
        <v>117</v>
      </c>
      <c r="U116" s="252"/>
      <c r="V116" s="1186"/>
      <c r="W116" s="297"/>
      <c r="X116" s="1186"/>
      <c r="Y116" s="207"/>
      <c r="Z116" s="52"/>
      <c r="AA116" s="220"/>
      <c r="AD116" s="33" t="str">
        <f>C114&amp;F116</f>
        <v>Egypt% GDP</v>
      </c>
    </row>
    <row r="117" spans="1:30" ht="125.5" customHeight="1">
      <c r="A117" s="1268">
        <v>0</v>
      </c>
      <c r="B117" s="1268" t="s">
        <v>861</v>
      </c>
      <c r="C117" s="1256" t="s">
        <v>549</v>
      </c>
      <c r="D117" s="1266" t="s">
        <v>570</v>
      </c>
      <c r="E117" s="35"/>
      <c r="F117" s="38" t="s">
        <v>115</v>
      </c>
      <c r="G117" s="502">
        <v>3.52</v>
      </c>
      <c r="H117" s="503">
        <v>1.29</v>
      </c>
      <c r="I117" s="1270" t="s">
        <v>1625</v>
      </c>
      <c r="J117" s="503">
        <v>2.23</v>
      </c>
      <c r="K117" s="1270" t="s">
        <v>1637</v>
      </c>
      <c r="L117" s="486"/>
      <c r="M117" s="1193" t="s">
        <v>1638</v>
      </c>
      <c r="N117" s="509"/>
      <c r="O117" s="175" t="s">
        <v>115</v>
      </c>
      <c r="P117" s="502">
        <v>0.16700000000000001</v>
      </c>
      <c r="Q117" s="502">
        <v>7.0000000000000007E-2</v>
      </c>
      <c r="R117" s="1193" t="s">
        <v>1476</v>
      </c>
      <c r="S117" s="35"/>
      <c r="T117" s="175" t="s">
        <v>115</v>
      </c>
      <c r="U117" s="502">
        <v>9.7000000000000003E-2</v>
      </c>
      <c r="V117" s="1184" t="s">
        <v>1585</v>
      </c>
      <c r="W117" s="1045"/>
      <c r="X117" s="1045"/>
      <c r="Y117" s="486"/>
      <c r="AA117" s="488"/>
      <c r="AD117" s="33" t="str">
        <f>C117&amp;F117</f>
        <v>GeorgiaLC bn</v>
      </c>
    </row>
    <row r="118" spans="1:30" ht="102.65" customHeight="1">
      <c r="A118" s="1268"/>
      <c r="B118" s="1268"/>
      <c r="C118" s="1256"/>
      <c r="D118" s="1266"/>
      <c r="E118" s="35"/>
      <c r="F118" s="175" t="s">
        <v>116</v>
      </c>
      <c r="G118" s="258">
        <v>1.1321361565263992</v>
      </c>
      <c r="H118" s="258">
        <v>0.41490217099973153</v>
      </c>
      <c r="I118" s="1216"/>
      <c r="J118" s="258">
        <v>0.71723398552666773</v>
      </c>
      <c r="K118" s="1216"/>
      <c r="L118" s="258"/>
      <c r="M118" s="1216"/>
      <c r="N118" s="509"/>
      <c r="O118" s="175" t="s">
        <v>116</v>
      </c>
      <c r="P118" s="585">
        <v>5.9361103903259175E-5</v>
      </c>
      <c r="Q118" s="77">
        <v>2.4881899839689477E-5</v>
      </c>
      <c r="R118" s="1216"/>
      <c r="S118" s="35"/>
      <c r="T118" s="175" t="s">
        <v>116</v>
      </c>
      <c r="U118" s="258">
        <v>3.4479204063569698E-5</v>
      </c>
      <c r="V118" s="1185"/>
      <c r="W118" s="1046"/>
      <c r="X118" s="1046"/>
      <c r="Y118" s="486"/>
      <c r="AA118" s="488"/>
      <c r="AD118" s="33" t="str">
        <f>C117&amp;F118</f>
        <v>GeorgiaUSD bn</v>
      </c>
    </row>
    <row r="119" spans="1:30" ht="90" customHeight="1">
      <c r="A119" s="1268"/>
      <c r="B119" s="1268"/>
      <c r="C119" s="1257"/>
      <c r="D119" s="1261"/>
      <c r="E119" s="35"/>
      <c r="F119" s="53" t="s">
        <v>117</v>
      </c>
      <c r="G119" s="252">
        <v>7.1244589204446775</v>
      </c>
      <c r="H119" s="252">
        <v>2.6109522748220551</v>
      </c>
      <c r="I119" s="1197"/>
      <c r="J119" s="252">
        <v>4.5135066456226216</v>
      </c>
      <c r="K119" s="1197"/>
      <c r="L119" s="252"/>
      <c r="M119" s="1197"/>
      <c r="N119" s="509"/>
      <c r="O119" s="53" t="s">
        <v>117</v>
      </c>
      <c r="P119" s="252">
        <v>4.5185755271281601E-4</v>
      </c>
      <c r="Q119" s="78">
        <v>1.8940136940058156E-4</v>
      </c>
      <c r="R119" s="1197"/>
      <c r="S119" s="35"/>
      <c r="T119" s="53" t="s">
        <v>117</v>
      </c>
      <c r="U119" s="252">
        <v>2.6245618331223442E-4</v>
      </c>
      <c r="V119" s="1186"/>
      <c r="W119" s="1047"/>
      <c r="X119" s="1047"/>
      <c r="Y119" s="486"/>
      <c r="AA119" s="488"/>
      <c r="AD119" s="33" t="str">
        <f>C117&amp;F119</f>
        <v>Georgia% GDP</v>
      </c>
    </row>
    <row r="120" spans="1:30" ht="92.5" customHeight="1">
      <c r="A120" s="1050"/>
      <c r="B120" s="1050"/>
      <c r="C120" s="1256" t="s">
        <v>1054</v>
      </c>
      <c r="D120" s="1266" t="s">
        <v>1560</v>
      </c>
      <c r="E120" s="35"/>
      <c r="F120" s="38" t="s">
        <v>115</v>
      </c>
      <c r="G120" s="258">
        <v>21.305</v>
      </c>
      <c r="H120" s="258">
        <v>3.1840000000000002</v>
      </c>
      <c r="I120" s="1193" t="s">
        <v>1599</v>
      </c>
      <c r="J120" s="258">
        <v>18.120999999999999</v>
      </c>
      <c r="K120" s="1193" t="s">
        <v>1600</v>
      </c>
      <c r="L120" s="258" t="s">
        <v>84</v>
      </c>
      <c r="M120" s="1193" t="s">
        <v>1561</v>
      </c>
      <c r="N120" s="509"/>
      <c r="O120" s="175"/>
      <c r="P120" s="258"/>
      <c r="Q120" s="77"/>
      <c r="R120" s="1049"/>
      <c r="S120" s="35"/>
      <c r="T120" s="175"/>
      <c r="U120" s="258"/>
      <c r="V120" s="1046"/>
      <c r="W120" s="1046"/>
      <c r="X120" s="1046"/>
      <c r="Y120" s="1046"/>
      <c r="AA120" s="1048"/>
      <c r="AD120" s="33" t="str">
        <f>C120&amp;F120</f>
        <v>GuatemalaLC bn</v>
      </c>
    </row>
    <row r="121" spans="1:30" ht="92.5" customHeight="1">
      <c r="A121" s="1050"/>
      <c r="B121" s="1050"/>
      <c r="C121" s="1256"/>
      <c r="D121" s="1266"/>
      <c r="E121" s="35"/>
      <c r="F121" s="175" t="s">
        <v>116</v>
      </c>
      <c r="G121" s="258">
        <v>2.759078567476394</v>
      </c>
      <c r="H121" s="258">
        <v>0.4123401154116329</v>
      </c>
      <c r="I121" s="1216"/>
      <c r="J121" s="258">
        <v>2.3467384520647609</v>
      </c>
      <c r="K121" s="1216"/>
      <c r="L121" s="258"/>
      <c r="M121" s="1216"/>
      <c r="N121" s="509"/>
      <c r="O121" s="175"/>
      <c r="P121" s="258"/>
      <c r="Q121" s="77"/>
      <c r="R121" s="1049"/>
      <c r="S121" s="35"/>
      <c r="T121" s="175"/>
      <c r="U121" s="258"/>
      <c r="V121" s="1046"/>
      <c r="W121" s="1046"/>
      <c r="X121" s="1046"/>
      <c r="Y121" s="1046"/>
      <c r="AA121" s="1048"/>
      <c r="AD121" s="33" t="str">
        <f>C120&amp;F121</f>
        <v>GuatemalaUSD bn</v>
      </c>
    </row>
    <row r="122" spans="1:30" ht="92.5" customHeight="1">
      <c r="A122" s="1050"/>
      <c r="B122" s="1050"/>
      <c r="C122" s="1257"/>
      <c r="D122" s="1261"/>
      <c r="E122" s="35"/>
      <c r="F122" s="53" t="s">
        <v>117</v>
      </c>
      <c r="G122" s="252">
        <v>3.5553616255933731</v>
      </c>
      <c r="H122" s="252">
        <v>0.53134341309032151</v>
      </c>
      <c r="I122" s="1197"/>
      <c r="J122" s="252">
        <v>3.024018212503051</v>
      </c>
      <c r="K122" s="1197"/>
      <c r="L122" s="252"/>
      <c r="M122" s="1197"/>
      <c r="N122" s="509"/>
      <c r="O122" s="175"/>
      <c r="P122" s="258"/>
      <c r="Q122" s="77"/>
      <c r="R122" s="1049"/>
      <c r="S122" s="35"/>
      <c r="T122" s="175"/>
      <c r="U122" s="258"/>
      <c r="V122" s="1046"/>
      <c r="W122" s="1046"/>
      <c r="X122" s="1046"/>
      <c r="Y122" s="1046"/>
      <c r="AA122" s="1048"/>
      <c r="AD122" s="33" t="str">
        <f>C120&amp;F122</f>
        <v>Guatemala% GDP</v>
      </c>
    </row>
    <row r="123" spans="1:30" s="225" customFormat="1" ht="88" customHeight="1">
      <c r="A123" s="1268">
        <v>0</v>
      </c>
      <c r="B123" s="1268" t="s">
        <v>861</v>
      </c>
      <c r="C123" s="1282" t="s">
        <v>35</v>
      </c>
      <c r="D123" s="1266" t="s">
        <v>571</v>
      </c>
      <c r="E123" s="504"/>
      <c r="F123" s="505" t="s">
        <v>115</v>
      </c>
      <c r="G123" s="186">
        <v>3888</v>
      </c>
      <c r="H123" s="528">
        <v>497</v>
      </c>
      <c r="I123" s="1193" t="s">
        <v>1548</v>
      </c>
      <c r="J123" s="1058">
        <v>3391</v>
      </c>
      <c r="K123" s="1193" t="s">
        <v>1583</v>
      </c>
      <c r="L123" s="528">
        <v>200</v>
      </c>
      <c r="M123" s="1193" t="s">
        <v>1584</v>
      </c>
      <c r="N123" s="224"/>
      <c r="O123" s="38" t="s">
        <v>115</v>
      </c>
      <c r="P123" s="186">
        <v>2017</v>
      </c>
      <c r="Q123" s="186"/>
      <c r="R123" s="1193" t="s">
        <v>1590</v>
      </c>
      <c r="S123" s="224"/>
      <c r="T123" s="38" t="s">
        <v>115</v>
      </c>
      <c r="U123" s="255"/>
      <c r="V123" s="1193" t="s">
        <v>1591</v>
      </c>
      <c r="W123" s="1057">
        <v>2017</v>
      </c>
      <c r="X123" s="1193" t="s">
        <v>1592</v>
      </c>
      <c r="Y123" s="205"/>
      <c r="Z123" s="224"/>
      <c r="AA123" s="205"/>
      <c r="AD123" s="33" t="str">
        <f>C123&amp;F123</f>
        <v>KazakhstanLC bn</v>
      </c>
    </row>
    <row r="124" spans="1:30" s="225" customFormat="1" ht="60" customHeight="1">
      <c r="A124" s="1268"/>
      <c r="B124" s="1268"/>
      <c r="C124" s="1282"/>
      <c r="D124" s="1266"/>
      <c r="E124" s="184"/>
      <c r="F124" s="506" t="s">
        <v>116</v>
      </c>
      <c r="G124" s="258">
        <v>9.4151074374828561</v>
      </c>
      <c r="H124" s="1040">
        <v>1.203525822126795</v>
      </c>
      <c r="I124" s="1216"/>
      <c r="J124" s="1038">
        <v>8.2115816153560601</v>
      </c>
      <c r="K124" s="1216"/>
      <c r="L124" s="1038">
        <v>0.48431622620796583</v>
      </c>
      <c r="M124" s="1216"/>
      <c r="O124" s="175" t="s">
        <v>116</v>
      </c>
      <c r="P124" s="412">
        <v>4.8843291413073349</v>
      </c>
      <c r="Q124" s="258">
        <v>0</v>
      </c>
      <c r="R124" s="1216"/>
      <c r="T124" s="175" t="s">
        <v>116</v>
      </c>
      <c r="U124" s="259"/>
      <c r="V124" s="1216"/>
      <c r="W124" s="258">
        <v>4.8843291413073349</v>
      </c>
      <c r="X124" s="1216"/>
      <c r="Y124" s="206"/>
      <c r="AA124" s="206"/>
      <c r="AD124" s="33" t="str">
        <f>C123&amp;F124</f>
        <v>KazakhstanUSD bn</v>
      </c>
    </row>
    <row r="125" spans="1:30" ht="156.75" customHeight="1">
      <c r="A125" s="1268"/>
      <c r="B125" s="1268"/>
      <c r="C125" s="1283"/>
      <c r="D125" s="1261"/>
      <c r="E125" s="507"/>
      <c r="F125" s="508" t="s">
        <v>117</v>
      </c>
      <c r="G125" s="252">
        <v>5.4981978129390923</v>
      </c>
      <c r="H125" s="1041">
        <v>0.70283032742559903</v>
      </c>
      <c r="I125" s="1197"/>
      <c r="J125" s="1039">
        <v>4.7953674855134931</v>
      </c>
      <c r="K125" s="1197"/>
      <c r="L125" s="1038">
        <v>0.28282910560386276</v>
      </c>
      <c r="M125" s="1197"/>
      <c r="N125" s="12"/>
      <c r="O125" s="53" t="s">
        <v>117</v>
      </c>
      <c r="P125" s="499">
        <v>2.8523315300149559</v>
      </c>
      <c r="Q125" s="252">
        <v>0</v>
      </c>
      <c r="R125" s="1197"/>
      <c r="S125" s="12"/>
      <c r="T125" s="53" t="s">
        <v>117</v>
      </c>
      <c r="U125" s="252"/>
      <c r="V125" s="1197"/>
      <c r="W125" s="252">
        <v>2.8523315300149559</v>
      </c>
      <c r="X125" s="1197"/>
      <c r="Y125" s="207"/>
      <c r="Z125" s="52"/>
      <c r="AA125" s="220"/>
      <c r="AD125" s="33" t="str">
        <f>C123&amp;F125</f>
        <v>Kazakhstan% GDP</v>
      </c>
    </row>
    <row r="126" spans="1:30" ht="116.15" customHeight="1">
      <c r="A126" s="1268">
        <v>0</v>
      </c>
      <c r="B126" s="1268" t="s">
        <v>861</v>
      </c>
      <c r="C126" s="1256" t="s">
        <v>92</v>
      </c>
      <c r="D126" s="1266" t="s">
        <v>570</v>
      </c>
      <c r="E126" s="224"/>
      <c r="F126" s="38" t="s">
        <v>115</v>
      </c>
      <c r="G126" s="500">
        <v>39.299999999999997</v>
      </c>
      <c r="H126" s="528">
        <v>1.3</v>
      </c>
      <c r="I126" s="1193" t="s">
        <v>639</v>
      </c>
      <c r="J126" s="540">
        <v>38</v>
      </c>
      <c r="K126" s="1184" t="s">
        <v>1684</v>
      </c>
      <c r="L126" s="289"/>
      <c r="M126" s="289"/>
      <c r="N126" s="224"/>
      <c r="O126" s="175" t="s">
        <v>115</v>
      </c>
      <c r="P126" s="496">
        <v>159.19999999999999</v>
      </c>
      <c r="Q126" s="276">
        <v>14.2</v>
      </c>
      <c r="R126" s="1184" t="s">
        <v>1685</v>
      </c>
      <c r="S126" s="224"/>
      <c r="T126" s="175" t="s">
        <v>115</v>
      </c>
      <c r="U126" s="255"/>
      <c r="V126" s="1184"/>
      <c r="W126" s="295">
        <v>145</v>
      </c>
      <c r="X126" s="1184" t="s">
        <v>1681</v>
      </c>
      <c r="Y126" s="205"/>
      <c r="Z126" s="224"/>
      <c r="AA126" s="205"/>
      <c r="AD126" s="33" t="str">
        <f>C126&amp;F126</f>
        <v>MauritiusLC bn</v>
      </c>
    </row>
    <row r="127" spans="1:30" ht="121" customHeight="1">
      <c r="A127" s="1268"/>
      <c r="B127" s="1268"/>
      <c r="C127" s="1256"/>
      <c r="D127" s="1266"/>
      <c r="E127" s="225"/>
      <c r="F127" s="175" t="s">
        <v>116</v>
      </c>
      <c r="G127" s="258">
        <v>0.99880719208951563</v>
      </c>
      <c r="H127" s="258">
        <v>3.3039423656905105E-2</v>
      </c>
      <c r="I127" s="1216"/>
      <c r="J127" s="258">
        <v>0.96576776843261058</v>
      </c>
      <c r="K127" s="1219"/>
      <c r="L127" s="290"/>
      <c r="M127" s="290"/>
      <c r="N127" s="225"/>
      <c r="O127" s="175" t="s">
        <v>116</v>
      </c>
      <c r="P127" s="412">
        <v>4.0460586509071472</v>
      </c>
      <c r="Q127" s="269">
        <v>0.36089216609850183</v>
      </c>
      <c r="R127" s="1219"/>
      <c r="S127" s="225"/>
      <c r="T127" s="175" t="s">
        <v>116</v>
      </c>
      <c r="U127" s="269"/>
      <c r="V127" s="1185"/>
      <c r="W127" s="410">
        <v>3.6851664848086458</v>
      </c>
      <c r="X127" s="1219"/>
      <c r="Y127" s="206"/>
      <c r="Z127" s="225"/>
      <c r="AA127" s="206"/>
      <c r="AD127" s="33" t="str">
        <f>C126&amp;F127</f>
        <v>MauritiusUSD bn</v>
      </c>
    </row>
    <row r="128" spans="1:30" ht="21.75" customHeight="1">
      <c r="A128" s="1268"/>
      <c r="B128" s="1268"/>
      <c r="C128" s="1257"/>
      <c r="D128" s="1261"/>
      <c r="E128" s="12"/>
      <c r="F128" s="53" t="s">
        <v>117</v>
      </c>
      <c r="G128" s="252">
        <v>9.1999999999999993</v>
      </c>
      <c r="H128" s="252">
        <v>0.30432569974554707</v>
      </c>
      <c r="I128" s="1197"/>
      <c r="J128" s="252">
        <v>8.895674300254452</v>
      </c>
      <c r="K128" s="1186"/>
      <c r="L128" s="291"/>
      <c r="M128" s="291"/>
      <c r="N128" s="12"/>
      <c r="O128" s="53" t="s">
        <v>117</v>
      </c>
      <c r="P128" s="499">
        <v>37.268193384223913</v>
      </c>
      <c r="Q128" s="267">
        <v>3.3241730279898221</v>
      </c>
      <c r="R128" s="1186"/>
      <c r="S128" s="12"/>
      <c r="T128" s="53" t="s">
        <v>117</v>
      </c>
      <c r="U128" s="267"/>
      <c r="V128" s="1186"/>
      <c r="W128" s="411">
        <v>33.944020356234091</v>
      </c>
      <c r="X128" s="1186"/>
      <c r="Y128" s="207"/>
      <c r="Z128" s="52"/>
      <c r="AA128" s="220"/>
      <c r="AD128" s="33" t="str">
        <f>C126&amp;F128</f>
        <v>Mauritius% GDP</v>
      </c>
    </row>
    <row r="129" spans="1:30" ht="54.65" customHeight="1">
      <c r="A129" s="1020"/>
      <c r="B129" s="1020"/>
      <c r="C129" s="1281" t="s">
        <v>963</v>
      </c>
      <c r="D129" s="1259" t="s">
        <v>570</v>
      </c>
      <c r="E129" s="512"/>
      <c r="F129" s="506" t="s">
        <v>115</v>
      </c>
      <c r="G129" s="1018">
        <v>33.200000000000003</v>
      </c>
      <c r="H129" s="1022">
        <v>4.2</v>
      </c>
      <c r="I129" s="1278" t="s">
        <v>1511</v>
      </c>
      <c r="J129" s="934">
        <v>29</v>
      </c>
      <c r="K129" s="1190" t="s">
        <v>1651</v>
      </c>
      <c r="L129" s="1015"/>
      <c r="M129" s="1190" t="s">
        <v>1512</v>
      </c>
      <c r="N129" s="512"/>
      <c r="O129" s="506" t="s">
        <v>115</v>
      </c>
      <c r="P129" s="754">
        <v>20.02</v>
      </c>
      <c r="Q129" s="73"/>
      <c r="R129" s="1015"/>
      <c r="S129" s="512"/>
      <c r="T129" s="506" t="s">
        <v>115</v>
      </c>
      <c r="U129" s="1035">
        <v>20.02</v>
      </c>
      <c r="V129" s="1193" t="s">
        <v>1281</v>
      </c>
      <c r="W129" s="258"/>
      <c r="X129" s="737"/>
      <c r="Y129" s="737"/>
      <c r="AA129" s="739"/>
      <c r="AD129" s="33" t="str">
        <f t="shared" ref="AD129" si="0">C129&amp;F129</f>
        <v>North MacedoniaLC bn</v>
      </c>
    </row>
    <row r="130" spans="1:30" ht="67.5" customHeight="1">
      <c r="A130" s="1020">
        <v>0</v>
      </c>
      <c r="B130" s="1020" t="s">
        <v>861</v>
      </c>
      <c r="C130" s="1282"/>
      <c r="D130" s="1260"/>
      <c r="E130" s="512"/>
      <c r="F130" s="506" t="s">
        <v>116</v>
      </c>
      <c r="G130" s="258">
        <v>0.6143669224556243</v>
      </c>
      <c r="H130" s="258">
        <v>7.7721116696193429E-2</v>
      </c>
      <c r="I130" s="1279"/>
      <c r="J130" s="258">
        <v>0.53664580575943077</v>
      </c>
      <c r="K130" s="1238"/>
      <c r="L130" s="1015"/>
      <c r="M130" s="1238"/>
      <c r="N130" s="512"/>
      <c r="O130" s="506" t="s">
        <v>116</v>
      </c>
      <c r="P130" s="755">
        <v>0.37047065625185532</v>
      </c>
      <c r="Q130" s="73"/>
      <c r="R130" s="1015"/>
      <c r="S130" s="512"/>
      <c r="T130" s="506" t="s">
        <v>116</v>
      </c>
      <c r="U130" s="258">
        <v>0.37047065625185532</v>
      </c>
      <c r="V130" s="1196"/>
      <c r="W130" s="258"/>
      <c r="X130" s="737"/>
      <c r="Y130" s="737"/>
      <c r="AA130" s="739"/>
      <c r="AD130" s="33" t="str">
        <f t="shared" ref="AD130" si="1">C129&amp;F130</f>
        <v>North MacedoniaUSD bn</v>
      </c>
    </row>
    <row r="131" spans="1:30" ht="127.5" customHeight="1">
      <c r="A131" s="1020"/>
      <c r="B131" s="1020"/>
      <c r="C131" s="1283"/>
      <c r="D131" s="1261"/>
      <c r="E131" s="507"/>
      <c r="F131" s="508" t="s">
        <v>117</v>
      </c>
      <c r="G131" s="252">
        <v>4.9999322298342346</v>
      </c>
      <c r="H131" s="252">
        <v>0.63252154714770437</v>
      </c>
      <c r="I131" s="1280"/>
      <c r="J131" s="252">
        <v>4.36741068268653</v>
      </c>
      <c r="K131" s="1192"/>
      <c r="L131" s="1016"/>
      <c r="M131" s="1192"/>
      <c r="N131" s="507"/>
      <c r="O131" s="508" t="s">
        <v>117</v>
      </c>
      <c r="P131" s="746">
        <v>3.0150193747373906</v>
      </c>
      <c r="Q131" s="78"/>
      <c r="R131" s="1017"/>
      <c r="S131" s="507"/>
      <c r="T131" s="508" t="s">
        <v>117</v>
      </c>
      <c r="U131" s="252">
        <v>3.0150193747373906</v>
      </c>
      <c r="V131" s="1197"/>
      <c r="W131" s="252"/>
      <c r="X131" s="738"/>
      <c r="Y131" s="737"/>
      <c r="AA131" s="739"/>
      <c r="AD131" s="33" t="str">
        <f t="shared" ref="AD131" si="2">C129&amp;F131</f>
        <v>North Macedonia% GDP</v>
      </c>
    </row>
    <row r="132" spans="1:30" ht="83.5" customHeight="1">
      <c r="A132" s="1268">
        <v>0</v>
      </c>
      <c r="B132" s="1268" t="s">
        <v>861</v>
      </c>
      <c r="C132" s="1282" t="s">
        <v>554</v>
      </c>
      <c r="D132" s="1266" t="s">
        <v>571</v>
      </c>
      <c r="E132" s="509"/>
      <c r="F132" s="505" t="s">
        <v>115</v>
      </c>
      <c r="G132" s="510">
        <v>828</v>
      </c>
      <c r="H132" s="510">
        <v>178</v>
      </c>
      <c r="I132" s="1184" t="s">
        <v>725</v>
      </c>
      <c r="J132" s="250">
        <v>650</v>
      </c>
      <c r="K132" s="1184" t="s">
        <v>1443</v>
      </c>
      <c r="L132" s="250">
        <v>480</v>
      </c>
      <c r="M132" s="1184" t="s">
        <v>727</v>
      </c>
      <c r="N132" s="35"/>
      <c r="O132" s="505" t="s">
        <v>115</v>
      </c>
      <c r="P132" s="529" t="s">
        <v>84</v>
      </c>
      <c r="Q132" s="269"/>
      <c r="R132" s="486"/>
      <c r="S132" s="35"/>
      <c r="T132" s="505" t="s">
        <v>115</v>
      </c>
      <c r="U132" s="258" t="s">
        <v>84</v>
      </c>
      <c r="V132" s="1184" t="s">
        <v>1387</v>
      </c>
      <c r="W132" s="486" t="s">
        <v>84</v>
      </c>
      <c r="X132" s="1202"/>
      <c r="Y132" s="486"/>
      <c r="AA132" s="488"/>
      <c r="AD132" s="33" t="str">
        <f>C132&amp;F132</f>
        <v>PakistanLC bn</v>
      </c>
    </row>
    <row r="133" spans="1:30" ht="58.5" customHeight="1">
      <c r="A133" s="1268"/>
      <c r="B133" s="1268"/>
      <c r="C133" s="1282"/>
      <c r="D133" s="1266"/>
      <c r="E133" s="509"/>
      <c r="F133" s="506" t="s">
        <v>116</v>
      </c>
      <c r="G133" s="258">
        <v>5.2148375564455147</v>
      </c>
      <c r="H133" s="258">
        <v>1.1210641123759681</v>
      </c>
      <c r="I133" s="1219"/>
      <c r="J133" s="258">
        <v>4.0937734440695461</v>
      </c>
      <c r="K133" s="1219"/>
      <c r="L133" s="258">
        <v>3.0230942356205883</v>
      </c>
      <c r="M133" s="1219"/>
      <c r="N133" s="35"/>
      <c r="O133" s="506" t="s">
        <v>116</v>
      </c>
      <c r="P133" s="412"/>
      <c r="Q133" s="258"/>
      <c r="R133" s="486"/>
      <c r="S133" s="35"/>
      <c r="T133" s="506" t="s">
        <v>116</v>
      </c>
      <c r="U133" s="258"/>
      <c r="V133" s="1185"/>
      <c r="W133" s="486"/>
      <c r="X133" s="1308"/>
      <c r="Y133" s="486"/>
      <c r="AA133" s="488"/>
      <c r="AD133" s="33" t="str">
        <f>C132&amp;F133</f>
        <v>PakistanUSD bn</v>
      </c>
    </row>
    <row r="134" spans="1:30" ht="60.75" customHeight="1">
      <c r="A134" s="1268"/>
      <c r="B134" s="1268"/>
      <c r="C134" s="1283"/>
      <c r="D134" s="1261"/>
      <c r="E134" s="509"/>
      <c r="F134" s="508" t="s">
        <v>117</v>
      </c>
      <c r="G134" s="252">
        <v>1.9924764282578782</v>
      </c>
      <c r="H134" s="252">
        <v>0.42833430462548588</v>
      </c>
      <c r="I134" s="1186"/>
      <c r="J134" s="252">
        <v>1.5641421236323922</v>
      </c>
      <c r="K134" s="1186"/>
      <c r="L134" s="252">
        <v>1.1550587989900742</v>
      </c>
      <c r="M134" s="1186"/>
      <c r="N134" s="12"/>
      <c r="O134" s="508" t="s">
        <v>117</v>
      </c>
      <c r="P134" s="499"/>
      <c r="Q134" s="252"/>
      <c r="R134" s="487"/>
      <c r="S134" s="12"/>
      <c r="T134" s="508" t="s">
        <v>117</v>
      </c>
      <c r="U134" s="252"/>
      <c r="V134" s="1186"/>
      <c r="W134" s="487"/>
      <c r="X134" s="1204"/>
      <c r="Y134" s="486"/>
      <c r="AA134" s="488"/>
      <c r="AD134" s="33" t="str">
        <f>C132&amp;F134</f>
        <v>Pakistan% GDP</v>
      </c>
    </row>
    <row r="135" spans="1:30" ht="48.65" customHeight="1">
      <c r="A135" s="1268">
        <v>0</v>
      </c>
      <c r="B135" s="1268" t="s">
        <v>861</v>
      </c>
      <c r="C135" s="1256" t="s">
        <v>555</v>
      </c>
      <c r="D135" s="1266" t="s">
        <v>570</v>
      </c>
      <c r="E135" s="509"/>
      <c r="F135" s="505" t="s">
        <v>115</v>
      </c>
      <c r="G135" s="510">
        <v>68.902000000000001</v>
      </c>
      <c r="H135" s="502">
        <v>12.042999999999999</v>
      </c>
      <c r="I135" s="1193" t="s">
        <v>1586</v>
      </c>
      <c r="J135" s="510">
        <v>56.859000000000002</v>
      </c>
      <c r="K135" s="1193" t="s">
        <v>1587</v>
      </c>
      <c r="L135" s="510">
        <v>12.045</v>
      </c>
      <c r="M135" s="1193" t="s">
        <v>1588</v>
      </c>
      <c r="N135" s="509"/>
      <c r="O135" s="505" t="s">
        <v>115</v>
      </c>
      <c r="P135" s="744">
        <v>83.7</v>
      </c>
      <c r="Q135" s="258"/>
      <c r="R135" s="734"/>
      <c r="S135" s="509"/>
      <c r="T135" s="505" t="s">
        <v>115</v>
      </c>
      <c r="U135" s="510">
        <v>69.2</v>
      </c>
      <c r="V135" s="1193" t="s">
        <v>1589</v>
      </c>
      <c r="W135" s="502"/>
      <c r="X135" s="1241"/>
      <c r="Y135" s="486"/>
      <c r="AA135" s="488"/>
      <c r="AD135" s="33" t="str">
        <f>C135&amp;F135</f>
        <v>PeruLC bn</v>
      </c>
    </row>
    <row r="136" spans="1:30" ht="48.65" customHeight="1">
      <c r="A136" s="1268"/>
      <c r="B136" s="1268"/>
      <c r="C136" s="1256"/>
      <c r="D136" s="1266"/>
      <c r="E136" s="509"/>
      <c r="F136" s="506" t="s">
        <v>116</v>
      </c>
      <c r="G136" s="251">
        <v>19.711394276042082</v>
      </c>
      <c r="H136" s="258">
        <v>3.4452457296794692</v>
      </c>
      <c r="I136" s="1216"/>
      <c r="J136" s="251">
        <v>16.266148546362611</v>
      </c>
      <c r="K136" s="1216"/>
      <c r="L136" s="258">
        <v>3.4458178870704317</v>
      </c>
      <c r="M136" s="1216"/>
      <c r="N136" s="509"/>
      <c r="O136" s="506" t="s">
        <v>116</v>
      </c>
      <c r="P136" s="745">
        <v>19.796645727295466</v>
      </c>
      <c r="Q136" s="258">
        <v>0</v>
      </c>
      <c r="R136" s="734"/>
      <c r="S136" s="509"/>
      <c r="T136" s="506" t="s">
        <v>116</v>
      </c>
      <c r="U136" s="251">
        <v>19.796645727295466</v>
      </c>
      <c r="V136" s="1216"/>
      <c r="W136" s="734"/>
      <c r="X136" s="1284"/>
      <c r="Y136" s="486"/>
      <c r="AA136" s="488"/>
      <c r="AD136" s="33" t="str">
        <f>C135&amp;F136</f>
        <v>PeruUSD bn</v>
      </c>
    </row>
    <row r="137" spans="1:30" ht="85.5" customHeight="1">
      <c r="A137" s="1268"/>
      <c r="B137" s="1268"/>
      <c r="C137" s="1257"/>
      <c r="D137" s="1261"/>
      <c r="E137" s="509"/>
      <c r="F137" s="508" t="s">
        <v>117</v>
      </c>
      <c r="G137" s="252">
        <v>9.5938667869694285</v>
      </c>
      <c r="H137" s="252">
        <v>1.6768589839986185</v>
      </c>
      <c r="I137" s="1197"/>
      <c r="J137" s="252">
        <v>7.9170078029708097</v>
      </c>
      <c r="K137" s="1197"/>
      <c r="L137" s="252">
        <v>1.6771374626142459</v>
      </c>
      <c r="M137" s="1197"/>
      <c r="N137" s="507"/>
      <c r="O137" s="508" t="s">
        <v>117</v>
      </c>
      <c r="P137" s="746">
        <v>9.6353601006978682</v>
      </c>
      <c r="Q137" s="252">
        <v>0</v>
      </c>
      <c r="R137" s="735"/>
      <c r="S137" s="507"/>
      <c r="T137" s="508" t="s">
        <v>117</v>
      </c>
      <c r="U137" s="252">
        <v>9.6353601006978682</v>
      </c>
      <c r="V137" s="1197"/>
      <c r="W137" s="735"/>
      <c r="X137" s="1243"/>
      <c r="Y137" s="486"/>
      <c r="AA137" s="488"/>
      <c r="AD137" s="33" t="str">
        <f>C135&amp;F137</f>
        <v>Peru% GDP</v>
      </c>
    </row>
    <row r="138" spans="1:30" ht="43.5" customHeight="1">
      <c r="A138" s="1268">
        <v>0</v>
      </c>
      <c r="B138" s="1268" t="s">
        <v>861</v>
      </c>
      <c r="C138" s="1256" t="s">
        <v>556</v>
      </c>
      <c r="D138" s="1266" t="s">
        <v>571</v>
      </c>
      <c r="E138" s="509"/>
      <c r="F138" s="505" t="s">
        <v>115</v>
      </c>
      <c r="G138" s="510">
        <v>799</v>
      </c>
      <c r="H138" s="510">
        <v>163</v>
      </c>
      <c r="I138" s="1193" t="s">
        <v>790</v>
      </c>
      <c r="J138" s="510">
        <v>636</v>
      </c>
      <c r="K138" s="1193" t="s">
        <v>1627</v>
      </c>
      <c r="L138" s="286"/>
      <c r="M138" s="1110"/>
      <c r="N138" s="35"/>
      <c r="O138" s="505" t="s">
        <v>115</v>
      </c>
      <c r="P138" s="496">
        <v>105</v>
      </c>
      <c r="Q138" s="510">
        <v>5</v>
      </c>
      <c r="R138" s="1202" t="s">
        <v>1628</v>
      </c>
      <c r="S138" s="35"/>
      <c r="T138" s="505" t="s">
        <v>115</v>
      </c>
      <c r="U138" s="510">
        <v>100</v>
      </c>
      <c r="V138" s="1193" t="s">
        <v>1629</v>
      </c>
      <c r="W138" s="502"/>
      <c r="X138" s="1193" t="s">
        <v>1630</v>
      </c>
      <c r="Y138" s="486"/>
      <c r="AA138" s="488"/>
      <c r="AD138" s="33" t="str">
        <f>C138&amp;F138</f>
        <v>PhilippinesLC bn</v>
      </c>
    </row>
    <row r="139" spans="1:30" ht="43.5" customHeight="1">
      <c r="A139" s="1268"/>
      <c r="B139" s="1268"/>
      <c r="C139" s="1256"/>
      <c r="D139" s="1266"/>
      <c r="E139" s="509"/>
      <c r="F139" s="506" t="s">
        <v>116</v>
      </c>
      <c r="G139" s="258">
        <v>16.101047676431413</v>
      </c>
      <c r="H139" s="258">
        <v>3.2846943319878852</v>
      </c>
      <c r="I139" s="1216"/>
      <c r="J139" s="258">
        <v>12.816353344443527</v>
      </c>
      <c r="K139" s="1196"/>
      <c r="L139" s="258"/>
      <c r="M139" s="1111"/>
      <c r="N139" s="35"/>
      <c r="O139" s="506" t="s">
        <v>116</v>
      </c>
      <c r="P139" s="412">
        <v>2.1159073917713367</v>
      </c>
      <c r="Q139" s="258">
        <v>0.10075749484625414</v>
      </c>
      <c r="R139" s="1216"/>
      <c r="S139" s="35"/>
      <c r="T139" s="506" t="s">
        <v>116</v>
      </c>
      <c r="U139" s="258">
        <v>2.0151498969250827</v>
      </c>
      <c r="V139" s="1216"/>
      <c r="W139" s="258"/>
      <c r="X139" s="1216"/>
      <c r="Y139" s="486"/>
      <c r="AA139" s="488"/>
      <c r="AD139" s="33" t="str">
        <f>C138&amp;F139</f>
        <v>PhilippinesUSD bn</v>
      </c>
    </row>
    <row r="140" spans="1:30" ht="48.65" customHeight="1">
      <c r="A140" s="1268"/>
      <c r="B140" s="1268"/>
      <c r="C140" s="1257"/>
      <c r="D140" s="1261"/>
      <c r="E140" s="509"/>
      <c r="F140" s="508" t="s">
        <v>117</v>
      </c>
      <c r="G140" s="252">
        <v>4.4540862311094349</v>
      </c>
      <c r="H140" s="252">
        <v>0.90865588945036024</v>
      </c>
      <c r="I140" s="1197"/>
      <c r="J140" s="252">
        <v>3.545430341659074</v>
      </c>
      <c r="K140" s="1197"/>
      <c r="L140" s="252"/>
      <c r="M140" s="1112"/>
      <c r="N140" s="35"/>
      <c r="O140" s="508" t="s">
        <v>117</v>
      </c>
      <c r="P140" s="499">
        <v>0.58533048093428119</v>
      </c>
      <c r="Q140" s="252">
        <v>2.7872880044489574E-2</v>
      </c>
      <c r="R140" s="1197"/>
      <c r="S140" s="35"/>
      <c r="T140" s="508" t="s">
        <v>117</v>
      </c>
      <c r="U140" s="252">
        <v>0.55745760088979157</v>
      </c>
      <c r="V140" s="1197"/>
      <c r="W140" s="252"/>
      <c r="X140" s="1197"/>
      <c r="Y140" s="486"/>
      <c r="AA140" s="488"/>
      <c r="AD140" s="33" t="str">
        <f>C138&amp;F140</f>
        <v>Philippines% GDP</v>
      </c>
    </row>
    <row r="141" spans="1:30" s="225" customFormat="1" ht="58.5" customHeight="1">
      <c r="A141" s="1268">
        <v>0</v>
      </c>
      <c r="B141" s="1268" t="s">
        <v>861</v>
      </c>
      <c r="C141" s="1256" t="s">
        <v>22</v>
      </c>
      <c r="D141" s="1252" t="s">
        <v>570</v>
      </c>
      <c r="E141" s="224"/>
      <c r="F141" s="38" t="s">
        <v>115</v>
      </c>
      <c r="G141" s="255">
        <v>150.19999999999999</v>
      </c>
      <c r="H141" s="957">
        <v>14.7</v>
      </c>
      <c r="I141" s="1184" t="s">
        <v>1534</v>
      </c>
      <c r="J141" s="177">
        <v>135.5</v>
      </c>
      <c r="K141" s="1184" t="s">
        <v>1535</v>
      </c>
      <c r="L141" s="526" t="s">
        <v>84</v>
      </c>
      <c r="M141" s="1184" t="s">
        <v>1536</v>
      </c>
      <c r="N141" s="224"/>
      <c r="O141" s="175" t="s">
        <v>115</v>
      </c>
      <c r="P141" s="496">
        <v>112</v>
      </c>
      <c r="Q141" s="274">
        <v>38</v>
      </c>
      <c r="R141" s="1184" t="s">
        <v>1441</v>
      </c>
      <c r="S141" s="224"/>
      <c r="T141" s="554" t="s">
        <v>115</v>
      </c>
      <c r="U141" s="117">
        <v>74</v>
      </c>
      <c r="V141" s="1184" t="s">
        <v>1537</v>
      </c>
      <c r="W141" s="117"/>
      <c r="X141" s="1184"/>
      <c r="Y141" s="199" t="s">
        <v>189</v>
      </c>
      <c r="Z141" s="224"/>
      <c r="AA141" s="198" t="s">
        <v>188</v>
      </c>
      <c r="AD141" s="33" t="str">
        <f>C141&amp;F141</f>
        <v>PolandLC bn</v>
      </c>
    </row>
    <row r="142" spans="1:30" s="225" customFormat="1" ht="76.5" customHeight="1">
      <c r="A142" s="1268"/>
      <c r="B142" s="1268"/>
      <c r="C142" s="1256"/>
      <c r="D142" s="1253"/>
      <c r="F142" s="175" t="s">
        <v>116</v>
      </c>
      <c r="G142" s="251">
        <v>38.516359409090974</v>
      </c>
      <c r="H142" s="258">
        <v>3.7695771192652283</v>
      </c>
      <c r="I142" s="1185"/>
      <c r="J142" s="251">
        <v>34.746782289825745</v>
      </c>
      <c r="K142" s="1219"/>
      <c r="L142" s="290"/>
      <c r="M142" s="1185"/>
      <c r="O142" s="175" t="s">
        <v>116</v>
      </c>
      <c r="P142" s="497">
        <v>28.720587575354124</v>
      </c>
      <c r="Q142" s="265">
        <v>9.7444850702094339</v>
      </c>
      <c r="R142" s="1185"/>
      <c r="T142" s="175" t="s">
        <v>116</v>
      </c>
      <c r="U142" s="285">
        <v>18.976102505144688</v>
      </c>
      <c r="V142" s="1185"/>
      <c r="W142" s="251"/>
      <c r="X142" s="1219"/>
      <c r="Y142" s="206"/>
      <c r="AA142" s="206"/>
      <c r="AD142" s="33" t="str">
        <f>C141&amp;F142</f>
        <v>PolandUSD bn</v>
      </c>
    </row>
    <row r="143" spans="1:30" ht="106.5" customHeight="1">
      <c r="A143" s="1268"/>
      <c r="B143" s="1268"/>
      <c r="C143" s="1257"/>
      <c r="D143" s="1254"/>
      <c r="E143" s="12"/>
      <c r="F143" s="53" t="s">
        <v>117</v>
      </c>
      <c r="G143" s="252">
        <v>6.463386978297736</v>
      </c>
      <c r="H143" s="252">
        <v>0.63256849920756808</v>
      </c>
      <c r="I143" s="1186"/>
      <c r="J143" s="252">
        <v>5.8308184790901691</v>
      </c>
      <c r="K143" s="1186"/>
      <c r="L143" s="291"/>
      <c r="M143" s="1186"/>
      <c r="N143" s="12"/>
      <c r="O143" s="53" t="s">
        <v>117</v>
      </c>
      <c r="P143" s="499">
        <v>4.8195695177719475</v>
      </c>
      <c r="Q143" s="267">
        <v>1.6352110863869107</v>
      </c>
      <c r="R143" s="1186"/>
      <c r="S143" s="12"/>
      <c r="T143" s="53" t="s">
        <v>117</v>
      </c>
      <c r="U143" s="78">
        <v>3.184358431385037</v>
      </c>
      <c r="V143" s="1186"/>
      <c r="W143" s="252"/>
      <c r="X143" s="1186"/>
      <c r="Y143" s="207"/>
      <c r="Z143" s="52"/>
      <c r="AA143" s="220"/>
      <c r="AD143" s="33" t="str">
        <f>C141&amp;F143</f>
        <v>Poland% GDP</v>
      </c>
    </row>
    <row r="144" spans="1:30" ht="131.5" customHeight="1">
      <c r="A144" s="1268">
        <v>0</v>
      </c>
      <c r="B144" s="1268" t="s">
        <v>861</v>
      </c>
      <c r="C144" s="1256" t="s">
        <v>557</v>
      </c>
      <c r="D144" s="1252" t="s">
        <v>571</v>
      </c>
      <c r="E144" s="35"/>
      <c r="F144" s="38" t="s">
        <v>115</v>
      </c>
      <c r="G144" s="251">
        <v>36</v>
      </c>
      <c r="H144" s="525">
        <v>10</v>
      </c>
      <c r="I144" s="1184" t="s">
        <v>1659</v>
      </c>
      <c r="J144" s="118">
        <v>26</v>
      </c>
      <c r="K144" s="1184" t="s">
        <v>1538</v>
      </c>
      <c r="L144" s="527">
        <v>2.2999999999999998</v>
      </c>
      <c r="M144" s="1190" t="s">
        <v>1539</v>
      </c>
      <c r="N144" s="35"/>
      <c r="O144" s="175" t="s">
        <v>115</v>
      </c>
      <c r="P144" s="496">
        <v>44.1</v>
      </c>
      <c r="Q144" s="269">
        <v>1.7</v>
      </c>
      <c r="R144" s="1184" t="s">
        <v>1138</v>
      </c>
      <c r="S144" s="35"/>
      <c r="T144" s="175" t="s">
        <v>115</v>
      </c>
      <c r="U144" s="285">
        <v>42.4</v>
      </c>
      <c r="V144" s="1202" t="s">
        <v>1540</v>
      </c>
      <c r="W144" s="486"/>
      <c r="X144" s="486"/>
      <c r="Y144" s="486"/>
      <c r="AA144" s="488"/>
      <c r="AD144" s="33" t="str">
        <f>C144&amp;F144</f>
        <v>RomaniaLC bn</v>
      </c>
    </row>
    <row r="145" spans="1:30" ht="105" customHeight="1">
      <c r="A145" s="1268"/>
      <c r="B145" s="1268"/>
      <c r="C145" s="1256"/>
      <c r="D145" s="1253"/>
      <c r="E145" s="35"/>
      <c r="F145" s="175" t="s">
        <v>116</v>
      </c>
      <c r="G145" s="258">
        <v>8.4825802752518751</v>
      </c>
      <c r="H145" s="258">
        <v>2.3562722986810765</v>
      </c>
      <c r="I145" s="1219"/>
      <c r="J145" s="258">
        <v>6.1263079765707982</v>
      </c>
      <c r="K145" s="1219"/>
      <c r="L145" s="258">
        <v>0.54194262869664755</v>
      </c>
      <c r="M145" s="1238"/>
      <c r="N145" s="35"/>
      <c r="O145" s="175" t="s">
        <v>116</v>
      </c>
      <c r="P145" s="412">
        <v>10.391160837183547</v>
      </c>
      <c r="Q145" s="258">
        <v>0.40056629077578298</v>
      </c>
      <c r="R145" s="1219"/>
      <c r="S145" s="35"/>
      <c r="T145" s="175" t="s">
        <v>116</v>
      </c>
      <c r="U145" s="258">
        <v>9.9905945464077632</v>
      </c>
      <c r="V145" s="1219"/>
      <c r="W145" s="486"/>
      <c r="X145" s="486"/>
      <c r="Y145" s="486"/>
      <c r="AA145" s="488"/>
      <c r="AD145" s="33" t="str">
        <f>C144&amp;F145</f>
        <v>RomaniaUSD bn</v>
      </c>
    </row>
    <row r="146" spans="1:30" ht="310.5" customHeight="1">
      <c r="A146" s="1268"/>
      <c r="B146" s="1268"/>
      <c r="C146" s="1257"/>
      <c r="D146" s="1254"/>
      <c r="E146" s="35"/>
      <c r="F146" s="53" t="s">
        <v>117</v>
      </c>
      <c r="G146" s="252">
        <v>3.4105481432975906</v>
      </c>
      <c r="H146" s="252">
        <v>0.94737448424933068</v>
      </c>
      <c r="I146" s="1186"/>
      <c r="J146" s="252">
        <v>2.4631736590482598</v>
      </c>
      <c r="K146" s="1186"/>
      <c r="L146" s="252">
        <v>0.21789613137734604</v>
      </c>
      <c r="M146" s="1192"/>
      <c r="N146" s="12"/>
      <c r="O146" s="53" t="s">
        <v>117</v>
      </c>
      <c r="P146" s="499">
        <v>4.1779214755395486</v>
      </c>
      <c r="Q146" s="252">
        <v>0.16105366232238622</v>
      </c>
      <c r="R146" s="1186"/>
      <c r="S146" s="12"/>
      <c r="T146" s="53" t="s">
        <v>117</v>
      </c>
      <c r="U146" s="252">
        <v>4.0168678132171625</v>
      </c>
      <c r="V146" s="1186"/>
      <c r="W146" s="487"/>
      <c r="X146" s="487"/>
      <c r="Y146" s="486"/>
      <c r="AA146" s="488"/>
      <c r="AD146" s="33" t="str">
        <f>C144&amp;F146</f>
        <v>Romania% GDP</v>
      </c>
    </row>
    <row r="147" spans="1:30" ht="69.650000000000006" customHeight="1">
      <c r="A147" s="743"/>
      <c r="B147" s="743"/>
      <c r="C147" s="1255" t="s">
        <v>953</v>
      </c>
      <c r="D147" s="1252" t="s">
        <v>570</v>
      </c>
      <c r="E147" s="37"/>
      <c r="F147" s="175" t="s">
        <v>115</v>
      </c>
      <c r="G147" s="934">
        <v>664</v>
      </c>
      <c r="H147" s="119">
        <v>125</v>
      </c>
      <c r="I147" s="1278" t="s">
        <v>1603</v>
      </c>
      <c r="J147" s="118">
        <v>539</v>
      </c>
      <c r="K147" s="1190" t="s">
        <v>1604</v>
      </c>
      <c r="L147" s="118">
        <v>148</v>
      </c>
      <c r="M147" s="1184" t="s">
        <v>1605</v>
      </c>
      <c r="N147" s="37"/>
      <c r="O147" s="175" t="s">
        <v>115</v>
      </c>
      <c r="P147" s="496">
        <v>175</v>
      </c>
      <c r="Q147" s="277"/>
      <c r="R147" s="737"/>
      <c r="S147" s="37"/>
      <c r="T147" s="175" t="s">
        <v>115</v>
      </c>
      <c r="U147" s="934">
        <v>175</v>
      </c>
      <c r="V147" s="1190" t="s">
        <v>1513</v>
      </c>
      <c r="W147" s="251"/>
      <c r="X147" s="1184" t="s">
        <v>1218</v>
      </c>
      <c r="Y147" s="766"/>
      <c r="AA147" s="787"/>
      <c r="AD147" s="33" t="str">
        <f t="shared" ref="AD147" si="3">C147&amp;F147</f>
        <v>SerbiaLC bn</v>
      </c>
    </row>
    <row r="148" spans="1:30" ht="69.650000000000006" customHeight="1">
      <c r="A148" s="743">
        <v>0</v>
      </c>
      <c r="B148" s="743" t="s">
        <v>861</v>
      </c>
      <c r="C148" s="1256"/>
      <c r="D148" s="1253"/>
      <c r="E148" s="37"/>
      <c r="F148" s="175" t="s">
        <v>116</v>
      </c>
      <c r="G148" s="258">
        <v>6.4363979597070609</v>
      </c>
      <c r="H148" s="258">
        <v>1.2116713026556967</v>
      </c>
      <c r="I148" s="1279"/>
      <c r="J148" s="258">
        <v>5.2247266570513649</v>
      </c>
      <c r="K148" s="1238"/>
      <c r="L148" s="258">
        <v>1.434618822344345</v>
      </c>
      <c r="M148" s="1185"/>
      <c r="N148" s="37"/>
      <c r="O148" s="175" t="s">
        <v>116</v>
      </c>
      <c r="P148" s="412">
        <v>1.6963398237179754</v>
      </c>
      <c r="Q148" s="277"/>
      <c r="R148" s="737"/>
      <c r="S148" s="37"/>
      <c r="T148" s="175" t="s">
        <v>116</v>
      </c>
      <c r="U148" s="258">
        <v>1.6963398237179754</v>
      </c>
      <c r="V148" s="1238"/>
      <c r="W148" s="258">
        <v>0</v>
      </c>
      <c r="X148" s="1185"/>
      <c r="Y148" s="737"/>
      <c r="AA148" s="739"/>
      <c r="AD148" s="33" t="str">
        <f t="shared" ref="AD148" si="4">C147&amp;F148</f>
        <v>SerbiaUSD bn</v>
      </c>
    </row>
    <row r="149" spans="1:30" ht="205" customHeight="1">
      <c r="A149" s="743"/>
      <c r="B149" s="743"/>
      <c r="C149" s="1257"/>
      <c r="D149" s="1254"/>
      <c r="E149" s="12"/>
      <c r="F149" s="53" t="s">
        <v>117</v>
      </c>
      <c r="G149" s="252">
        <v>12.153288105042478</v>
      </c>
      <c r="H149" s="252">
        <v>2.2878930920637197</v>
      </c>
      <c r="I149" s="1280"/>
      <c r="J149" s="252">
        <v>9.8653950129787589</v>
      </c>
      <c r="K149" s="1192"/>
      <c r="L149" s="252">
        <v>2.708865421003444</v>
      </c>
      <c r="M149" s="1186"/>
      <c r="N149" s="12"/>
      <c r="O149" s="53" t="s">
        <v>117</v>
      </c>
      <c r="P149" s="499">
        <v>3.203050328889208</v>
      </c>
      <c r="Q149" s="267"/>
      <c r="R149" s="742"/>
      <c r="S149" s="12"/>
      <c r="T149" s="53" t="s">
        <v>117</v>
      </c>
      <c r="U149" s="252">
        <v>3.203050328889208</v>
      </c>
      <c r="V149" s="1192"/>
      <c r="W149" s="252">
        <v>0</v>
      </c>
      <c r="X149" s="1186"/>
      <c r="Y149" s="737"/>
      <c r="AA149" s="739"/>
      <c r="AD149" s="33" t="str">
        <f t="shared" ref="AD149" si="5">C147&amp;F149</f>
        <v>Serbia% GDP</v>
      </c>
    </row>
    <row r="150" spans="1:30" ht="247.5" customHeight="1">
      <c r="A150" s="1268">
        <v>0</v>
      </c>
      <c r="B150" s="1268" t="s">
        <v>861</v>
      </c>
      <c r="C150" s="1256" t="s">
        <v>559</v>
      </c>
      <c r="D150" s="1253" t="s">
        <v>572</v>
      </c>
      <c r="E150" s="35"/>
      <c r="F150" s="38" t="s">
        <v>115</v>
      </c>
      <c r="G150" s="186">
        <v>2290</v>
      </c>
      <c r="H150" s="258" t="s">
        <v>84</v>
      </c>
      <c r="I150" s="1184" t="s">
        <v>645</v>
      </c>
      <c r="J150" s="258" t="s">
        <v>84</v>
      </c>
      <c r="K150" s="1270" t="s">
        <v>1384</v>
      </c>
      <c r="L150" s="258"/>
      <c r="M150" s="1184" t="s">
        <v>1541</v>
      </c>
      <c r="N150" s="35"/>
      <c r="O150" s="175" t="s">
        <v>115</v>
      </c>
      <c r="P150" s="496">
        <v>665</v>
      </c>
      <c r="Q150" s="251">
        <v>90</v>
      </c>
      <c r="R150" s="1202" t="s">
        <v>736</v>
      </c>
      <c r="S150" s="35"/>
      <c r="T150" s="175" t="s">
        <v>115</v>
      </c>
      <c r="U150" s="251">
        <v>325</v>
      </c>
      <c r="V150" s="1184" t="s">
        <v>567</v>
      </c>
      <c r="W150" s="251">
        <v>250</v>
      </c>
      <c r="X150" s="1184" t="s">
        <v>1001</v>
      </c>
      <c r="Y150" s="486"/>
      <c r="AA150" s="488"/>
      <c r="AD150" s="33" t="str">
        <f t="shared" ref="AD150" si="6">C150&amp;F150</f>
        <v>ThailandLC bn</v>
      </c>
    </row>
    <row r="151" spans="1:30" ht="161.5" customHeight="1">
      <c r="A151" s="1268"/>
      <c r="B151" s="1268"/>
      <c r="C151" s="1256"/>
      <c r="D151" s="1253"/>
      <c r="E151" s="35"/>
      <c r="F151" s="175" t="s">
        <v>116</v>
      </c>
      <c r="G151" s="251">
        <v>73.187651709336336</v>
      </c>
      <c r="H151" s="258"/>
      <c r="I151" s="1219"/>
      <c r="J151" s="258"/>
      <c r="K151" s="1219"/>
      <c r="L151" s="258"/>
      <c r="M151" s="1185"/>
      <c r="N151" s="35"/>
      <c r="O151" s="175" t="s">
        <v>116</v>
      </c>
      <c r="P151" s="497">
        <v>21.253182701619505</v>
      </c>
      <c r="Q151" s="258">
        <v>2.8763705911966246</v>
      </c>
      <c r="R151" s="1203"/>
      <c r="S151" s="35"/>
      <c r="T151" s="175" t="s">
        <v>116</v>
      </c>
      <c r="U151" s="251">
        <v>10.386893801543367</v>
      </c>
      <c r="V151" s="1219"/>
      <c r="W151" s="258">
        <v>7.9899183088795134</v>
      </c>
      <c r="X151" s="1185"/>
      <c r="Y151" s="486"/>
      <c r="AA151" s="488"/>
      <c r="AD151" s="33" t="str">
        <f t="shared" ref="AD151" si="7">C150&amp;F151</f>
        <v>ThailandUSD bn</v>
      </c>
    </row>
    <row r="152" spans="1:30" ht="108.65" customHeight="1">
      <c r="A152" s="1268"/>
      <c r="B152" s="1268"/>
      <c r="C152" s="1257"/>
      <c r="D152" s="1254"/>
      <c r="E152" s="35"/>
      <c r="F152" s="53" t="s">
        <v>117</v>
      </c>
      <c r="G152" s="252">
        <v>14.587579816038515</v>
      </c>
      <c r="H152" s="252"/>
      <c r="I152" s="1186"/>
      <c r="J152" s="252"/>
      <c r="K152" s="1186"/>
      <c r="L152" s="252"/>
      <c r="M152" s="1186"/>
      <c r="N152" s="12"/>
      <c r="O152" s="53" t="s">
        <v>117</v>
      </c>
      <c r="P152" s="499">
        <v>4.2361312566225386</v>
      </c>
      <c r="Q152" s="252">
        <v>0.57331099713688494</v>
      </c>
      <c r="R152" s="1204"/>
      <c r="S152" s="12"/>
      <c r="T152" s="53" t="s">
        <v>117</v>
      </c>
      <c r="U152" s="252">
        <v>2.0702897118831953</v>
      </c>
      <c r="V152" s="1186"/>
      <c r="W152" s="252">
        <v>1.592530547602458</v>
      </c>
      <c r="X152" s="1186"/>
      <c r="Y152" s="486"/>
      <c r="AA152" s="488"/>
      <c r="AD152" s="33" t="str">
        <f t="shared" ref="AD152" si="8">C150&amp;F152</f>
        <v>Thailand% GDP</v>
      </c>
    </row>
    <row r="153" spans="1:30" s="225" customFormat="1" ht="88" customHeight="1">
      <c r="A153" s="1268">
        <v>0</v>
      </c>
      <c r="B153" s="1268" t="s">
        <v>861</v>
      </c>
      <c r="C153" s="1281" t="s">
        <v>30</v>
      </c>
      <c r="D153" s="1259" t="s">
        <v>570</v>
      </c>
      <c r="E153" s="504"/>
      <c r="F153" s="505" t="s">
        <v>115</v>
      </c>
      <c r="G153" s="913">
        <v>2.9849999999999999</v>
      </c>
      <c r="H153" s="913">
        <v>0.39500000000000002</v>
      </c>
      <c r="I153" s="1193" t="s">
        <v>1388</v>
      </c>
      <c r="J153" s="913">
        <v>2.59</v>
      </c>
      <c r="K153" s="1270" t="s">
        <v>1389</v>
      </c>
      <c r="L153" s="913">
        <v>0.3</v>
      </c>
      <c r="M153" s="1193" t="s">
        <v>1245</v>
      </c>
      <c r="N153" s="504"/>
      <c r="O153" s="505" t="s">
        <v>115</v>
      </c>
      <c r="P153" s="754">
        <v>0.89999999999999991</v>
      </c>
      <c r="Q153" s="79">
        <v>0.7</v>
      </c>
      <c r="R153" s="1193" t="s">
        <v>1314</v>
      </c>
      <c r="S153" s="504"/>
      <c r="T153" s="505" t="s">
        <v>115</v>
      </c>
      <c r="U153" s="913">
        <v>0.2</v>
      </c>
      <c r="V153" s="1193" t="s">
        <v>614</v>
      </c>
      <c r="W153" s="899"/>
      <c r="X153" s="899"/>
      <c r="Y153" s="1184" t="s">
        <v>83</v>
      </c>
      <c r="Z153" s="224"/>
      <c r="AA153" s="205"/>
      <c r="AD153" s="33" t="str">
        <f>C153&amp;F153</f>
        <v>TunisiaLC bn</v>
      </c>
    </row>
    <row r="154" spans="1:30" s="225" customFormat="1" ht="88" customHeight="1">
      <c r="A154" s="1268"/>
      <c r="B154" s="1268"/>
      <c r="C154" s="1282"/>
      <c r="D154" s="1260"/>
      <c r="E154" s="184"/>
      <c r="F154" s="506" t="s">
        <v>116</v>
      </c>
      <c r="G154" s="258">
        <v>1.0614213919969644</v>
      </c>
      <c r="H154" s="258">
        <v>0.14045609709842577</v>
      </c>
      <c r="I154" s="1196"/>
      <c r="J154" s="258">
        <v>0.92096529489853862</v>
      </c>
      <c r="K154" s="1196"/>
      <c r="L154" s="258">
        <v>0.1066755167836145</v>
      </c>
      <c r="M154" s="1196"/>
      <c r="N154" s="184"/>
      <c r="O154" s="506" t="s">
        <v>116</v>
      </c>
      <c r="P154" s="755">
        <v>0.32002655035084349</v>
      </c>
      <c r="Q154" s="77">
        <v>0.24890953916176717</v>
      </c>
      <c r="R154" s="1196"/>
      <c r="S154" s="184"/>
      <c r="T154" s="506" t="s">
        <v>116</v>
      </c>
      <c r="U154" s="258">
        <v>7.1117011189076346E-2</v>
      </c>
      <c r="V154" s="1196"/>
      <c r="W154" s="900"/>
      <c r="X154" s="900"/>
      <c r="Y154" s="1185"/>
      <c r="AA154" s="206"/>
      <c r="AD154" s="33" t="str">
        <f>C153&amp;F154</f>
        <v>TunisiaUSD bn</v>
      </c>
    </row>
    <row r="155" spans="1:30" ht="114" customHeight="1">
      <c r="A155" s="1268"/>
      <c r="B155" s="1268"/>
      <c r="C155" s="1283"/>
      <c r="D155" s="1261"/>
      <c r="E155" s="507"/>
      <c r="F155" s="508" t="s">
        <v>117</v>
      </c>
      <c r="G155" s="252">
        <v>2.7063675838678867</v>
      </c>
      <c r="H155" s="252">
        <v>0.35812904376141214</v>
      </c>
      <c r="I155" s="1197"/>
      <c r="J155" s="252">
        <v>2.3482385401064745</v>
      </c>
      <c r="K155" s="1197"/>
      <c r="L155" s="252">
        <v>0.27199674209727503</v>
      </c>
      <c r="M155" s="1197"/>
      <c r="N155" s="507"/>
      <c r="O155" s="508" t="s">
        <v>117</v>
      </c>
      <c r="P155" s="746">
        <v>0.81599022629182516</v>
      </c>
      <c r="Q155" s="78">
        <v>0.63465906489364177</v>
      </c>
      <c r="R155" s="1197"/>
      <c r="S155" s="507"/>
      <c r="T155" s="508" t="s">
        <v>117</v>
      </c>
      <c r="U155" s="252">
        <v>0.18133116139818339</v>
      </c>
      <c r="V155" s="1197"/>
      <c r="W155" s="901"/>
      <c r="X155" s="901"/>
      <c r="Y155" s="1186"/>
      <c r="Z155" s="52"/>
      <c r="AA155" s="220"/>
      <c r="AD155" s="33" t="str">
        <f>C153&amp;F155</f>
        <v>Tunisia% GDP</v>
      </c>
    </row>
    <row r="156" spans="1:30" s="225" customFormat="1" ht="68.5" customHeight="1">
      <c r="A156" s="1268">
        <v>0</v>
      </c>
      <c r="B156" s="1268" t="s">
        <v>861</v>
      </c>
      <c r="C156" s="1255" t="s">
        <v>56</v>
      </c>
      <c r="D156" s="1259" t="s">
        <v>570</v>
      </c>
      <c r="E156" s="907"/>
      <c r="F156" s="38" t="s">
        <v>115</v>
      </c>
      <c r="G156" s="255">
        <v>32</v>
      </c>
      <c r="H156" s="909" t="s">
        <v>84</v>
      </c>
      <c r="I156" s="1193" t="s">
        <v>1597</v>
      </c>
      <c r="J156" s="286" t="s">
        <v>84</v>
      </c>
      <c r="K156" s="1193" t="s">
        <v>1626</v>
      </c>
      <c r="L156" s="899"/>
      <c r="M156" s="899"/>
      <c r="N156" s="907"/>
      <c r="O156" s="38" t="s">
        <v>115</v>
      </c>
      <c r="P156" s="79" t="s">
        <v>84</v>
      </c>
      <c r="Q156" s="79" t="s">
        <v>84</v>
      </c>
      <c r="R156" s="1184" t="s">
        <v>1598</v>
      </c>
      <c r="S156" s="907"/>
      <c r="T156" s="38" t="s">
        <v>115</v>
      </c>
      <c r="U156" s="79" t="s">
        <v>84</v>
      </c>
      <c r="V156" s="1184" t="s">
        <v>343</v>
      </c>
      <c r="W156" s="79" t="s">
        <v>84</v>
      </c>
      <c r="X156" s="1184" t="s">
        <v>750</v>
      </c>
      <c r="Y156" s="205"/>
      <c r="Z156" s="224"/>
      <c r="AA156" s="218" t="s">
        <v>51</v>
      </c>
      <c r="AD156" s="33" t="str">
        <f>C156&amp;F156</f>
        <v>United Arab EmiratesLC bn</v>
      </c>
    </row>
    <row r="157" spans="1:30" s="225" customFormat="1" ht="69.650000000000006" customHeight="1">
      <c r="A157" s="1268"/>
      <c r="B157" s="1268"/>
      <c r="C157" s="1256"/>
      <c r="D157" s="1260"/>
      <c r="E157" s="902"/>
      <c r="F157" s="175" t="s">
        <v>116</v>
      </c>
      <c r="G157" s="258">
        <v>8.7134104833219883</v>
      </c>
      <c r="H157" s="903"/>
      <c r="I157" s="1196"/>
      <c r="J157" s="910"/>
      <c r="K157" s="1196"/>
      <c r="L157" s="900"/>
      <c r="M157" s="900"/>
      <c r="N157" s="902"/>
      <c r="O157" s="175" t="s">
        <v>116</v>
      </c>
      <c r="P157" s="900"/>
      <c r="Q157" s="277"/>
      <c r="R157" s="1185"/>
      <c r="S157" s="902"/>
      <c r="T157" s="175" t="s">
        <v>116</v>
      </c>
      <c r="U157" s="914"/>
      <c r="V157" s="1185"/>
      <c r="W157" s="900"/>
      <c r="X157" s="1185"/>
      <c r="Y157" s="206"/>
      <c r="AA157" s="219" t="s">
        <v>52</v>
      </c>
      <c r="AD157" s="33" t="str">
        <f>C156&amp;F157</f>
        <v>United Arab EmiratesUSD bn</v>
      </c>
    </row>
    <row r="158" spans="1:30" ht="47.5" customHeight="1">
      <c r="A158" s="1268"/>
      <c r="B158" s="1268"/>
      <c r="C158" s="1257"/>
      <c r="D158" s="1261"/>
      <c r="E158" s="12"/>
      <c r="F158" s="53" t="s">
        <v>117</v>
      </c>
      <c r="G158" s="252">
        <v>2.4280205714042915</v>
      </c>
      <c r="H158" s="911"/>
      <c r="I158" s="1197"/>
      <c r="J158" s="915"/>
      <c r="K158" s="1197"/>
      <c r="L158" s="901"/>
      <c r="M158" s="901"/>
      <c r="N158" s="12"/>
      <c r="O158" s="53" t="s">
        <v>117</v>
      </c>
      <c r="P158" s="912"/>
      <c r="Q158" s="267"/>
      <c r="R158" s="1186"/>
      <c r="S158" s="12"/>
      <c r="T158" s="53" t="s">
        <v>117</v>
      </c>
      <c r="U158" s="252"/>
      <c r="V158" s="1186"/>
      <c r="W158" s="901"/>
      <c r="X158" s="1186"/>
      <c r="Y158" s="207"/>
      <c r="Z158" s="52"/>
      <c r="AA158" s="220"/>
      <c r="AD158" s="33" t="str">
        <f>C156&amp;F158</f>
        <v>United Arab Emirates% GDP</v>
      </c>
    </row>
    <row r="159" spans="1:30" s="225" customFormat="1" ht="128.5" customHeight="1">
      <c r="A159" s="1268">
        <v>0</v>
      </c>
      <c r="B159" s="1268" t="s">
        <v>862</v>
      </c>
      <c r="C159" s="1255" t="s">
        <v>37</v>
      </c>
      <c r="D159" s="1259" t="s">
        <v>571</v>
      </c>
      <c r="E159" s="504"/>
      <c r="F159" s="505" t="s">
        <v>115</v>
      </c>
      <c r="G159" s="119">
        <v>630.91000000000008</v>
      </c>
      <c r="H159" s="119">
        <v>253</v>
      </c>
      <c r="I159" s="1190" t="s">
        <v>1557</v>
      </c>
      <c r="J159" s="119">
        <v>377.91</v>
      </c>
      <c r="K159" s="1193" t="s">
        <v>1653</v>
      </c>
      <c r="L159" s="899"/>
      <c r="M159" s="899"/>
      <c r="N159" s="907"/>
      <c r="O159" s="38" t="s">
        <v>115</v>
      </c>
      <c r="P159" s="498">
        <v>20</v>
      </c>
      <c r="Q159" s="274"/>
      <c r="R159" s="1184"/>
      <c r="S159" s="907"/>
      <c r="T159" s="38" t="s">
        <v>115</v>
      </c>
      <c r="U159" s="913">
        <v>20</v>
      </c>
      <c r="V159" s="1013" t="s">
        <v>1477</v>
      </c>
      <c r="W159" s="899"/>
      <c r="X159" s="899"/>
      <c r="Y159" s="205"/>
      <c r="Z159" s="224"/>
      <c r="AA159" s="205"/>
      <c r="AD159" s="33" t="str">
        <f>C159&amp;F159</f>
        <v>BangladeshLC bn</v>
      </c>
    </row>
    <row r="160" spans="1:30" s="37" customFormat="1" ht="94.5" customHeight="1">
      <c r="A160" s="1268"/>
      <c r="B160" s="1268"/>
      <c r="C160" s="1256"/>
      <c r="D160" s="1260"/>
      <c r="E160" s="184"/>
      <c r="F160" s="506" t="s">
        <v>116</v>
      </c>
      <c r="G160" s="258">
        <v>7.4404955534436894</v>
      </c>
      <c r="H160" s="258">
        <v>2.9836987447040832</v>
      </c>
      <c r="I160" s="1238"/>
      <c r="J160" s="258">
        <v>4.4567968087396057</v>
      </c>
      <c r="K160" s="1196"/>
      <c r="L160" s="900"/>
      <c r="M160" s="900"/>
      <c r="N160" s="902"/>
      <c r="O160" s="175" t="s">
        <v>116</v>
      </c>
      <c r="P160" s="412">
        <v>0.23586551341534254</v>
      </c>
      <c r="Q160" s="269"/>
      <c r="R160" s="1185"/>
      <c r="S160" s="902"/>
      <c r="T160" s="175" t="s">
        <v>116</v>
      </c>
      <c r="U160" s="1019">
        <v>0.23586551341534254</v>
      </c>
      <c r="V160" s="900"/>
      <c r="W160" s="900"/>
      <c r="X160" s="900"/>
      <c r="Y160" s="206"/>
      <c r="Z160" s="225"/>
      <c r="AA160" s="206"/>
      <c r="AD160" s="33" t="str">
        <f>C159&amp;F160</f>
        <v>BangladeshUSD bn</v>
      </c>
    </row>
    <row r="161" spans="1:30" ht="157.5" customHeight="1">
      <c r="A161" s="1268"/>
      <c r="B161" s="1268"/>
      <c r="C161" s="1257"/>
      <c r="D161" s="1261"/>
      <c r="E161" s="507"/>
      <c r="F161" s="508" t="s">
        <v>117</v>
      </c>
      <c r="G161" s="252">
        <v>2.3031524031183657</v>
      </c>
      <c r="H161" s="252">
        <v>0.92358269482009558</v>
      </c>
      <c r="I161" s="1192"/>
      <c r="J161" s="252">
        <v>1.3795697082982701</v>
      </c>
      <c r="K161" s="1197"/>
      <c r="L161" s="901"/>
      <c r="M161" s="901"/>
      <c r="N161" s="12"/>
      <c r="O161" s="53" t="s">
        <v>117</v>
      </c>
      <c r="P161" s="499">
        <v>7.3010489709098458E-2</v>
      </c>
      <c r="Q161" s="267"/>
      <c r="R161" s="1186"/>
      <c r="S161" s="12"/>
      <c r="T161" s="53" t="s">
        <v>117</v>
      </c>
      <c r="U161" s="252">
        <v>7.3010489709098458E-2</v>
      </c>
      <c r="V161" s="901"/>
      <c r="W161" s="901"/>
      <c r="X161" s="901"/>
      <c r="Y161" s="206"/>
      <c r="AA161" s="219"/>
      <c r="AD161" s="33" t="str">
        <f>C159&amp;F161</f>
        <v>Bangladesh% GDP</v>
      </c>
    </row>
    <row r="162" spans="1:30" ht="157.5" customHeight="1">
      <c r="A162" s="1055"/>
      <c r="B162" s="1055"/>
      <c r="C162" s="1255" t="s">
        <v>1095</v>
      </c>
      <c r="D162" s="1259" t="s">
        <v>571</v>
      </c>
      <c r="E162" s="534"/>
      <c r="F162" s="38" t="s">
        <v>115</v>
      </c>
      <c r="G162" s="510">
        <v>329</v>
      </c>
      <c r="H162" s="119">
        <v>42</v>
      </c>
      <c r="I162" s="1184" t="s">
        <v>1566</v>
      </c>
      <c r="J162" s="119">
        <v>287</v>
      </c>
      <c r="K162" s="1184" t="s">
        <v>1567</v>
      </c>
      <c r="L162" s="1051"/>
      <c r="M162" s="1051"/>
      <c r="N162" s="16"/>
      <c r="O162" s="38" t="s">
        <v>115</v>
      </c>
      <c r="P162" s="497">
        <v>110</v>
      </c>
      <c r="Q162" s="268"/>
      <c r="R162" s="1051"/>
      <c r="S162" s="16"/>
      <c r="T162" s="38" t="s">
        <v>115</v>
      </c>
      <c r="U162" s="286"/>
      <c r="V162" s="1051"/>
      <c r="W162" s="1051"/>
      <c r="X162" s="1051"/>
      <c r="Y162" s="1052"/>
      <c r="AA162" s="1054"/>
      <c r="AD162" s="33" t="str">
        <f>C162&amp;F162</f>
        <v>ChadLC bn</v>
      </c>
    </row>
    <row r="163" spans="1:30" ht="153.5" customHeight="1">
      <c r="A163" s="1055"/>
      <c r="B163" s="1055"/>
      <c r="C163" s="1256"/>
      <c r="D163" s="1260"/>
      <c r="E163" s="509"/>
      <c r="F163" s="175" t="s">
        <v>116</v>
      </c>
      <c r="G163" s="258">
        <v>0.57241820992473713</v>
      </c>
      <c r="H163" s="258">
        <v>7.307466509677496E-2</v>
      </c>
      <c r="I163" s="1219"/>
      <c r="J163" s="258">
        <v>0.49934354482796223</v>
      </c>
      <c r="K163" s="1185"/>
      <c r="L163" s="1052"/>
      <c r="M163" s="1052"/>
      <c r="N163" s="35"/>
      <c r="O163" s="520" t="s">
        <v>116</v>
      </c>
      <c r="P163" s="412">
        <v>0</v>
      </c>
      <c r="Q163" s="269"/>
      <c r="R163" s="1052"/>
      <c r="S163" s="35"/>
      <c r="T163" s="520" t="s">
        <v>116</v>
      </c>
      <c r="U163" s="1056">
        <v>0</v>
      </c>
      <c r="V163" s="1052"/>
      <c r="W163" s="1052"/>
      <c r="X163" s="1052"/>
      <c r="Y163" s="1052"/>
      <c r="AA163" s="1054"/>
      <c r="AD163" s="33" t="str">
        <f>C162&amp;F163</f>
        <v>ChadUSD bn</v>
      </c>
    </row>
    <row r="164" spans="1:30" ht="49.5" customHeight="1">
      <c r="A164" s="1055"/>
      <c r="B164" s="1055"/>
      <c r="C164" s="1257"/>
      <c r="D164" s="1261"/>
      <c r="E164" s="507"/>
      <c r="F164" s="53" t="s">
        <v>117</v>
      </c>
      <c r="G164" s="252">
        <v>5.2826581188893638</v>
      </c>
      <c r="H164" s="252">
        <v>0.67438188751779127</v>
      </c>
      <c r="I164" s="1186"/>
      <c r="J164" s="252">
        <v>4.6082762313715735</v>
      </c>
      <c r="K164" s="1186"/>
      <c r="L164" s="1053"/>
      <c r="M164" s="1053"/>
      <c r="N164" s="12"/>
      <c r="O164" s="53" t="s">
        <v>117</v>
      </c>
      <c r="P164" s="499">
        <v>0</v>
      </c>
      <c r="Q164" s="267"/>
      <c r="R164" s="1053"/>
      <c r="S164" s="12"/>
      <c r="T164" s="53" t="s">
        <v>117</v>
      </c>
      <c r="U164" s="252">
        <v>0</v>
      </c>
      <c r="V164" s="1053"/>
      <c r="W164" s="1053"/>
      <c r="X164" s="1053"/>
      <c r="Y164" s="1052"/>
      <c r="AA164" s="1054"/>
      <c r="AD164" s="33" t="str">
        <f>C162&amp;F164</f>
        <v>Chad% GDP</v>
      </c>
    </row>
    <row r="165" spans="1:30" ht="58.5" customHeight="1">
      <c r="A165" s="1268">
        <v>0</v>
      </c>
      <c r="B165" s="1268" t="s">
        <v>862</v>
      </c>
      <c r="C165" s="1256" t="s">
        <v>548</v>
      </c>
      <c r="D165" s="1266" t="s">
        <v>570</v>
      </c>
      <c r="E165" s="35"/>
      <c r="F165" s="175" t="s">
        <v>115</v>
      </c>
      <c r="G165" s="510">
        <v>84.4</v>
      </c>
      <c r="H165" s="250">
        <v>21.3</v>
      </c>
      <c r="I165" s="1193" t="s">
        <v>1481</v>
      </c>
      <c r="J165" s="250">
        <v>63.1</v>
      </c>
      <c r="K165" s="1196" t="s">
        <v>1631</v>
      </c>
      <c r="L165" s="486"/>
      <c r="M165" s="486"/>
      <c r="N165" s="35"/>
      <c r="O165" s="175" t="s">
        <v>115</v>
      </c>
      <c r="P165" s="497">
        <v>21</v>
      </c>
      <c r="Q165" s="266">
        <v>21</v>
      </c>
      <c r="R165" s="1185" t="s">
        <v>751</v>
      </c>
      <c r="S165" s="35"/>
      <c r="T165" s="175" t="s">
        <v>115</v>
      </c>
      <c r="U165" s="258"/>
      <c r="V165" s="486"/>
      <c r="W165" s="486"/>
      <c r="X165" s="486"/>
      <c r="Y165" s="486"/>
      <c r="AA165" s="488"/>
      <c r="AD165" s="33" t="str">
        <f>C165&amp;F165</f>
        <v>EthiopiaLC bn</v>
      </c>
    </row>
    <row r="166" spans="1:30" ht="58.5" customHeight="1">
      <c r="A166" s="1268"/>
      <c r="B166" s="1268"/>
      <c r="C166" s="1256"/>
      <c r="D166" s="1266"/>
      <c r="E166" s="35"/>
      <c r="F166" s="175" t="s">
        <v>116</v>
      </c>
      <c r="G166" s="258">
        <v>2.4164497040512201</v>
      </c>
      <c r="H166" s="258">
        <v>0.60983861014562779</v>
      </c>
      <c r="I166" s="1216"/>
      <c r="J166" s="258">
        <v>1.8066110939055922</v>
      </c>
      <c r="K166" s="1216"/>
      <c r="L166" s="258"/>
      <c r="M166" s="486"/>
      <c r="N166" s="35"/>
      <c r="O166" s="175" t="s">
        <v>116</v>
      </c>
      <c r="P166" s="412">
        <v>0.60124933394639357</v>
      </c>
      <c r="Q166" s="269">
        <v>0.60124933394639357</v>
      </c>
      <c r="R166" s="1185"/>
      <c r="S166" s="35"/>
      <c r="T166" s="175" t="s">
        <v>116</v>
      </c>
      <c r="U166" s="258"/>
      <c r="V166" s="486"/>
      <c r="W166" s="486"/>
      <c r="X166" s="486"/>
      <c r="Y166" s="486"/>
      <c r="AA166" s="488"/>
      <c r="AD166" s="33" t="str">
        <f>C165&amp;F166</f>
        <v>EthiopiaUSD bn</v>
      </c>
    </row>
    <row r="167" spans="1:30" ht="72" customHeight="1">
      <c r="A167" s="1268"/>
      <c r="B167" s="1268"/>
      <c r="C167" s="1257"/>
      <c r="D167" s="1261"/>
      <c r="E167" s="12"/>
      <c r="F167" s="53" t="s">
        <v>117</v>
      </c>
      <c r="G167" s="252">
        <v>2.5012230728926022</v>
      </c>
      <c r="H167" s="252">
        <v>0.63123283711626088</v>
      </c>
      <c r="I167" s="1197"/>
      <c r="J167" s="252">
        <v>1.8699902357763409</v>
      </c>
      <c r="K167" s="1197"/>
      <c r="L167" s="252"/>
      <c r="M167" s="487"/>
      <c r="N167" s="12"/>
      <c r="O167" s="53" t="s">
        <v>117</v>
      </c>
      <c r="P167" s="499">
        <v>0.62234223377659526</v>
      </c>
      <c r="Q167" s="267">
        <v>0.62234223377659526</v>
      </c>
      <c r="R167" s="1186"/>
      <c r="S167" s="12"/>
      <c r="T167" s="53" t="s">
        <v>117</v>
      </c>
      <c r="U167" s="252"/>
      <c r="V167" s="487"/>
      <c r="W167" s="487"/>
      <c r="X167" s="487"/>
      <c r="Y167" s="486"/>
      <c r="AA167" s="488"/>
      <c r="AD167" s="33" t="str">
        <f>C165&amp;F167</f>
        <v>Ethiopia% GDP</v>
      </c>
    </row>
    <row r="168" spans="1:30" ht="58.5" customHeight="1">
      <c r="A168" s="1268">
        <v>0</v>
      </c>
      <c r="B168" s="1268" t="s">
        <v>862</v>
      </c>
      <c r="C168" s="1256" t="s">
        <v>550</v>
      </c>
      <c r="D168" s="1266" t="s">
        <v>571</v>
      </c>
      <c r="E168" s="35"/>
      <c r="F168" s="175" t="s">
        <v>115</v>
      </c>
      <c r="G168" s="1035">
        <v>12.5</v>
      </c>
      <c r="H168" s="1009">
        <v>4.2</v>
      </c>
      <c r="I168" s="1193" t="s">
        <v>648</v>
      </c>
      <c r="J168" s="502">
        <v>8.3000000000000007</v>
      </c>
      <c r="K168" s="1184" t="s">
        <v>788</v>
      </c>
      <c r="L168" s="486" t="s">
        <v>84</v>
      </c>
      <c r="M168" s="1193" t="s">
        <v>621</v>
      </c>
      <c r="N168" s="35"/>
      <c r="O168" s="38" t="s">
        <v>115</v>
      </c>
      <c r="P168" s="498">
        <v>1.2</v>
      </c>
      <c r="Q168" s="518">
        <v>1.2</v>
      </c>
      <c r="R168" s="1190" t="s">
        <v>752</v>
      </c>
      <c r="S168" s="35"/>
      <c r="T168" s="38" t="s">
        <v>115</v>
      </c>
      <c r="U168" s="258"/>
      <c r="V168" s="486"/>
      <c r="W168" s="486"/>
      <c r="X168" s="486"/>
      <c r="Y168" s="486"/>
      <c r="AA168" s="488"/>
      <c r="AD168" s="33" t="str">
        <f>C168&amp;F168</f>
        <v>GhanaLC bn</v>
      </c>
    </row>
    <row r="169" spans="1:30" ht="58.5" customHeight="1">
      <c r="A169" s="1268"/>
      <c r="B169" s="1268"/>
      <c r="C169" s="1256"/>
      <c r="D169" s="1266"/>
      <c r="E169" s="35"/>
      <c r="F169" s="175" t="s">
        <v>116</v>
      </c>
      <c r="G169" s="258">
        <v>2.2327431550550991</v>
      </c>
      <c r="H169" s="258">
        <v>0.75020170009851339</v>
      </c>
      <c r="I169" s="1216"/>
      <c r="J169" s="258">
        <v>1.4825414549565861</v>
      </c>
      <c r="K169" s="1219"/>
      <c r="L169" s="258"/>
      <c r="M169" s="1216"/>
      <c r="N169" s="35"/>
      <c r="O169" s="175" t="s">
        <v>116</v>
      </c>
      <c r="P169" s="412">
        <v>0.21434334288528953</v>
      </c>
      <c r="Q169" s="258">
        <v>0.21434334288528953</v>
      </c>
      <c r="R169" s="1238"/>
      <c r="S169" s="35"/>
      <c r="T169" s="175" t="s">
        <v>116</v>
      </c>
      <c r="U169" s="258"/>
      <c r="V169" s="486"/>
      <c r="W169" s="486"/>
      <c r="X169" s="486"/>
      <c r="Y169" s="486"/>
      <c r="AA169" s="488"/>
      <c r="AD169" s="33" t="str">
        <f>C168&amp;F169</f>
        <v>GhanaUSD bn</v>
      </c>
    </row>
    <row r="170" spans="1:30" ht="42.65" customHeight="1">
      <c r="A170" s="1268"/>
      <c r="B170" s="1268"/>
      <c r="C170" s="1257"/>
      <c r="D170" s="1261"/>
      <c r="E170" s="12"/>
      <c r="F170" s="53" t="s">
        <v>117</v>
      </c>
      <c r="G170" s="252">
        <v>3.2595714054750369</v>
      </c>
      <c r="H170" s="252">
        <v>1.0952159922396125</v>
      </c>
      <c r="I170" s="1197"/>
      <c r="J170" s="252">
        <v>2.164355413235425</v>
      </c>
      <c r="K170" s="1186"/>
      <c r="L170" s="252"/>
      <c r="M170" s="1197"/>
      <c r="N170" s="12"/>
      <c r="O170" s="53" t="s">
        <v>117</v>
      </c>
      <c r="P170" s="499">
        <v>0.31291885492560356</v>
      </c>
      <c r="Q170" s="252">
        <v>0.31291885492560356</v>
      </c>
      <c r="R170" s="1192"/>
      <c r="S170" s="12"/>
      <c r="T170" s="53" t="s">
        <v>117</v>
      </c>
      <c r="U170" s="252"/>
      <c r="V170" s="487"/>
      <c r="W170" s="487"/>
      <c r="X170" s="487"/>
      <c r="Y170" s="486"/>
      <c r="AA170" s="488"/>
      <c r="AD170" s="33" t="str">
        <f>C168&amp;F170</f>
        <v>Ghana% GDP</v>
      </c>
    </row>
    <row r="171" spans="1:30" ht="41.5" customHeight="1">
      <c r="A171" s="1268">
        <v>0</v>
      </c>
      <c r="B171" s="1268" t="s">
        <v>862</v>
      </c>
      <c r="C171" s="1255" t="s">
        <v>566</v>
      </c>
      <c r="D171" s="1252" t="s">
        <v>571</v>
      </c>
      <c r="E171" s="16"/>
      <c r="F171" s="38" t="s">
        <v>115</v>
      </c>
      <c r="G171" s="253">
        <v>55.230000000000004</v>
      </c>
      <c r="H171" s="119">
        <v>48.6</v>
      </c>
      <c r="I171" s="1258" t="s">
        <v>1514</v>
      </c>
      <c r="J171" s="516">
        <v>6.6300000000000008</v>
      </c>
      <c r="K171" s="1190" t="s">
        <v>1515</v>
      </c>
      <c r="L171" s="899"/>
      <c r="M171" s="899"/>
      <c r="N171" s="16"/>
      <c r="O171" s="38" t="s">
        <v>115</v>
      </c>
      <c r="P171" s="496">
        <v>15</v>
      </c>
      <c r="Q171" s="253">
        <v>15</v>
      </c>
      <c r="R171" s="1184" t="s">
        <v>1290</v>
      </c>
      <c r="S171" s="16"/>
      <c r="T171" s="38" t="s">
        <v>115</v>
      </c>
      <c r="U171" s="286"/>
      <c r="V171" s="899"/>
      <c r="W171" s="899"/>
      <c r="X171" s="899"/>
      <c r="Y171" s="486"/>
      <c r="AA171" s="488"/>
      <c r="AD171" s="33" t="str">
        <f>C171&amp;F171</f>
        <v>Guinea-BissauLC bn</v>
      </c>
    </row>
    <row r="172" spans="1:30" ht="58.5" customHeight="1">
      <c r="A172" s="1268"/>
      <c r="B172" s="1268"/>
      <c r="C172" s="1256"/>
      <c r="D172" s="1253"/>
      <c r="E172" s="35"/>
      <c r="F172" s="175" t="s">
        <v>116</v>
      </c>
      <c r="G172" s="258">
        <v>9.6093184602259421E-2</v>
      </c>
      <c r="H172" s="258">
        <v>8.4557826754839902E-2</v>
      </c>
      <c r="I172" s="1285"/>
      <c r="J172" s="258">
        <v>1.1535357847419518E-2</v>
      </c>
      <c r="K172" s="1238"/>
      <c r="L172" s="258"/>
      <c r="M172" s="900"/>
      <c r="N172" s="35"/>
      <c r="O172" s="175" t="s">
        <v>116</v>
      </c>
      <c r="P172" s="412">
        <v>2.609809467741972E-2</v>
      </c>
      <c r="Q172" s="258">
        <v>2.609809467741972E-2</v>
      </c>
      <c r="R172" s="1185"/>
      <c r="S172" s="35"/>
      <c r="T172" s="175" t="s">
        <v>116</v>
      </c>
      <c r="U172" s="258"/>
      <c r="V172" s="900"/>
      <c r="W172" s="900"/>
      <c r="X172" s="900"/>
      <c r="Y172" s="486"/>
      <c r="AA172" s="488"/>
      <c r="AD172" s="33" t="str">
        <f>C171&amp;F172</f>
        <v>Guinea-BissauUSD bn</v>
      </c>
    </row>
    <row r="173" spans="1:30" ht="38.5" customHeight="1">
      <c r="A173" s="1268"/>
      <c r="B173" s="1268"/>
      <c r="C173" s="1257"/>
      <c r="D173" s="1254"/>
      <c r="E173" s="12"/>
      <c r="F173" s="53" t="s">
        <v>117</v>
      </c>
      <c r="G173" s="252">
        <v>6.702226729381966</v>
      </c>
      <c r="H173" s="252">
        <v>5.8976682789781556</v>
      </c>
      <c r="I173" s="1286"/>
      <c r="J173" s="252">
        <v>0.80455845040381013</v>
      </c>
      <c r="K173" s="1192"/>
      <c r="L173" s="252"/>
      <c r="M173" s="901"/>
      <c r="N173" s="12"/>
      <c r="O173" s="53" t="s">
        <v>117</v>
      </c>
      <c r="P173" s="499">
        <v>1.8202679873389367</v>
      </c>
      <c r="Q173" s="252">
        <v>1.8202679873389367</v>
      </c>
      <c r="R173" s="1186"/>
      <c r="S173" s="12"/>
      <c r="T173" s="53" t="s">
        <v>117</v>
      </c>
      <c r="U173" s="252"/>
      <c r="V173" s="901"/>
      <c r="W173" s="901"/>
      <c r="X173" s="901"/>
      <c r="Y173" s="486"/>
      <c r="AA173" s="488"/>
      <c r="AD173" s="33" t="str">
        <f>C171&amp;F173</f>
        <v>Guinea-Bissau% GDP</v>
      </c>
    </row>
    <row r="174" spans="1:30" s="224" customFormat="1" ht="37.5" customHeight="1">
      <c r="A174" s="1268">
        <v>0</v>
      </c>
      <c r="B174" s="1268" t="s">
        <v>862</v>
      </c>
      <c r="C174" s="1255" t="s">
        <v>38</v>
      </c>
      <c r="D174" s="1252" t="s">
        <v>571</v>
      </c>
      <c r="E174" s="244"/>
      <c r="F174" s="38" t="s">
        <v>115</v>
      </c>
      <c r="G174" s="119">
        <v>20.100000000000001</v>
      </c>
      <c r="H174" s="1032">
        <v>12.7</v>
      </c>
      <c r="I174" s="1220" t="s">
        <v>1663</v>
      </c>
      <c r="J174" s="1022">
        <v>7.4</v>
      </c>
      <c r="K174" s="1184" t="s">
        <v>1664</v>
      </c>
      <c r="L174" s="1033">
        <v>2.8</v>
      </c>
      <c r="M174" s="1184" t="s">
        <v>995</v>
      </c>
      <c r="N174" s="244"/>
      <c r="O174" s="38" t="s">
        <v>115</v>
      </c>
      <c r="P174" s="496">
        <v>16.475000000000001</v>
      </c>
      <c r="Q174" s="1036">
        <v>9.6</v>
      </c>
      <c r="R174" s="1187" t="s">
        <v>1516</v>
      </c>
      <c r="S174" s="244"/>
      <c r="T174" s="38" t="s">
        <v>115</v>
      </c>
      <c r="U174" s="908">
        <v>6.875</v>
      </c>
      <c r="V174" s="1184" t="s">
        <v>753</v>
      </c>
      <c r="W174" s="904">
        <v>0</v>
      </c>
      <c r="X174" s="1184"/>
      <c r="Y174" s="205"/>
      <c r="Z174" s="14"/>
      <c r="AA174" s="205"/>
      <c r="AD174" s="33" t="str">
        <f>C174&amp;F174</f>
        <v>HondurasLC bn</v>
      </c>
    </row>
    <row r="175" spans="1:30" ht="58.5" customHeight="1">
      <c r="A175" s="1268"/>
      <c r="B175" s="1268"/>
      <c r="C175" s="1256"/>
      <c r="D175" s="1253"/>
      <c r="E175" s="35"/>
      <c r="F175" s="175" t="s">
        <v>116</v>
      </c>
      <c r="G175" s="258">
        <v>0.81767544130184866</v>
      </c>
      <c r="H175" s="258">
        <v>0.51664070171808341</v>
      </c>
      <c r="I175" s="1221"/>
      <c r="J175" s="258">
        <v>0.3010347395837652</v>
      </c>
      <c r="K175" s="1185"/>
      <c r="L175" s="900"/>
      <c r="M175" s="1185"/>
      <c r="N175" s="35"/>
      <c r="O175" s="175" t="s">
        <v>116</v>
      </c>
      <c r="P175" s="412">
        <v>0.27967754522140348</v>
      </c>
      <c r="Q175" s="515"/>
      <c r="R175" s="1300"/>
      <c r="S175" s="35"/>
      <c r="T175" s="175" t="s">
        <v>116</v>
      </c>
      <c r="U175" s="258">
        <v>0.27967754522140348</v>
      </c>
      <c r="V175" s="1185"/>
      <c r="W175" s="258">
        <v>0</v>
      </c>
      <c r="X175" s="1185"/>
      <c r="Y175" s="206"/>
      <c r="AA175" s="219"/>
      <c r="AD175" s="33" t="str">
        <f>C174&amp;F175</f>
        <v>HondurasUSD bn</v>
      </c>
    </row>
    <row r="176" spans="1:30" ht="61" customHeight="1">
      <c r="A176" s="1268"/>
      <c r="B176" s="1268"/>
      <c r="C176" s="1257"/>
      <c r="D176" s="1254"/>
      <c r="E176" s="12"/>
      <c r="F176" s="53" t="s">
        <v>117</v>
      </c>
      <c r="G176" s="252">
        <v>3.43159415816337</v>
      </c>
      <c r="H176" s="252">
        <v>2.1682211845111836</v>
      </c>
      <c r="I176" s="1222"/>
      <c r="J176" s="252">
        <v>1.2633729736521859</v>
      </c>
      <c r="K176" s="1186"/>
      <c r="L176" s="901"/>
      <c r="M176" s="1186"/>
      <c r="N176" s="12"/>
      <c r="O176" s="53" t="s">
        <v>117</v>
      </c>
      <c r="P176" s="499">
        <v>1.173741782953889</v>
      </c>
      <c r="Q176" s="1037"/>
      <c r="R176" s="1189"/>
      <c r="S176" s="12"/>
      <c r="T176" s="53" t="s">
        <v>117</v>
      </c>
      <c r="U176" s="252">
        <v>1.173741782953889</v>
      </c>
      <c r="V176" s="1186"/>
      <c r="W176" s="252">
        <v>0</v>
      </c>
      <c r="X176" s="1186"/>
      <c r="Y176" s="207"/>
      <c r="Z176" s="52"/>
      <c r="AA176" s="220"/>
      <c r="AD176" s="33" t="str">
        <f>C174&amp;F176</f>
        <v>Honduras% GDP</v>
      </c>
    </row>
    <row r="177" spans="1:31" ht="58.5" customHeight="1">
      <c r="A177" s="1268">
        <v>0</v>
      </c>
      <c r="B177" s="1268" t="s">
        <v>862</v>
      </c>
      <c r="C177" s="1256" t="s">
        <v>552</v>
      </c>
      <c r="D177" s="1266" t="s">
        <v>571</v>
      </c>
      <c r="E177" s="35"/>
      <c r="F177" s="38" t="s">
        <v>115</v>
      </c>
      <c r="G177" s="510">
        <v>263.60000000000002</v>
      </c>
      <c r="H177" s="1035">
        <v>21.6</v>
      </c>
      <c r="I177" s="1190" t="s">
        <v>1517</v>
      </c>
      <c r="J177" s="250">
        <v>242</v>
      </c>
      <c r="K177" s="1193" t="s">
        <v>1482</v>
      </c>
      <c r="L177" s="753">
        <v>33</v>
      </c>
      <c r="M177" s="1193" t="s">
        <v>1207</v>
      </c>
      <c r="N177" s="509"/>
      <c r="O177" s="505" t="s">
        <v>115</v>
      </c>
      <c r="P177" s="754"/>
      <c r="Q177" s="77"/>
      <c r="R177" s="486"/>
      <c r="S177" s="35"/>
      <c r="T177" s="38" t="s">
        <v>115</v>
      </c>
      <c r="U177" s="258"/>
      <c r="V177" s="486"/>
      <c r="W177" s="486"/>
      <c r="X177" s="486"/>
      <c r="Y177" s="486"/>
      <c r="AA177" s="488"/>
      <c r="AD177" s="33" t="str">
        <f>C177&amp;F177</f>
        <v>KenyaLC bn</v>
      </c>
    </row>
    <row r="178" spans="1:31" ht="58.5" customHeight="1">
      <c r="A178" s="1268"/>
      <c r="B178" s="1268"/>
      <c r="C178" s="1256"/>
      <c r="D178" s="1266"/>
      <c r="E178" s="35"/>
      <c r="F178" s="175" t="s">
        <v>116</v>
      </c>
      <c r="G178" s="258">
        <v>2.5109136596508708</v>
      </c>
      <c r="H178" s="258">
        <v>0.20575013296076938</v>
      </c>
      <c r="I178" s="1238"/>
      <c r="J178" s="258">
        <v>2.3051635266901012</v>
      </c>
      <c r="K178" s="1216"/>
      <c r="L178" s="258">
        <v>0.3143404809122865</v>
      </c>
      <c r="M178" s="1216"/>
      <c r="N178" s="509"/>
      <c r="O178" s="506" t="s">
        <v>116</v>
      </c>
      <c r="P178" s="755"/>
      <c r="Q178" s="258"/>
      <c r="R178" s="486"/>
      <c r="S178" s="35"/>
      <c r="T178" s="175" t="s">
        <v>116</v>
      </c>
      <c r="U178" s="258"/>
      <c r="V178" s="486"/>
      <c r="W178" s="486"/>
      <c r="X178" s="486"/>
      <c r="Y178" s="486"/>
      <c r="AA178" s="488"/>
      <c r="AD178" s="33" t="str">
        <f>C177&amp;F178</f>
        <v>KenyaUSD bn</v>
      </c>
    </row>
    <row r="179" spans="1:31" ht="77.150000000000006" customHeight="1">
      <c r="A179" s="1268"/>
      <c r="B179" s="1268"/>
      <c r="C179" s="1257"/>
      <c r="D179" s="1261"/>
      <c r="E179" s="12"/>
      <c r="F179" s="53" t="s">
        <v>117</v>
      </c>
      <c r="G179" s="252">
        <v>2.4514108377373729</v>
      </c>
      <c r="H179" s="252">
        <v>0.20087433268257682</v>
      </c>
      <c r="I179" s="1192"/>
      <c r="J179" s="252">
        <v>2.2505365050547956</v>
      </c>
      <c r="K179" s="1197"/>
      <c r="L179" s="252">
        <v>0.30689134159838122</v>
      </c>
      <c r="M179" s="1197"/>
      <c r="N179" s="509"/>
      <c r="O179" s="508" t="s">
        <v>117</v>
      </c>
      <c r="P179" s="746"/>
      <c r="Q179" s="252"/>
      <c r="R179" s="722"/>
      <c r="S179" s="12"/>
      <c r="T179" s="53" t="s">
        <v>117</v>
      </c>
      <c r="U179" s="252"/>
      <c r="V179" s="722"/>
      <c r="W179" s="722"/>
      <c r="X179" s="722"/>
      <c r="Y179" s="486"/>
      <c r="AA179" s="488"/>
      <c r="AD179" s="33" t="str">
        <f>C177&amp;F179</f>
        <v>Kenya% GDP</v>
      </c>
    </row>
    <row r="180" spans="1:31" ht="98.5" customHeight="1">
      <c r="A180" s="1268">
        <v>0</v>
      </c>
      <c r="B180" s="1268" t="s">
        <v>862</v>
      </c>
      <c r="C180" s="1255" t="s">
        <v>912</v>
      </c>
      <c r="D180" s="1259" t="s">
        <v>572</v>
      </c>
      <c r="E180" s="35"/>
      <c r="F180" s="38" t="s">
        <v>115</v>
      </c>
      <c r="G180" s="251">
        <v>832</v>
      </c>
      <c r="H180" s="926">
        <v>185</v>
      </c>
      <c r="I180" s="1202" t="s">
        <v>1468</v>
      </c>
      <c r="J180" s="926">
        <v>647</v>
      </c>
      <c r="K180" s="1190" t="s">
        <v>1518</v>
      </c>
      <c r="L180" s="258"/>
      <c r="M180" s="1010" t="s">
        <v>1469</v>
      </c>
      <c r="N180" s="509"/>
      <c r="O180" s="505" t="s">
        <v>115</v>
      </c>
      <c r="P180" s="756">
        <v>300</v>
      </c>
      <c r="Q180" s="926">
        <v>300</v>
      </c>
      <c r="R180" s="1190" t="s">
        <v>1519</v>
      </c>
      <c r="S180" s="35"/>
      <c r="T180" s="38" t="s">
        <v>115</v>
      </c>
      <c r="U180" s="258"/>
      <c r="V180" s="1034" t="s">
        <v>1520</v>
      </c>
      <c r="W180" s="900"/>
      <c r="X180" s="900"/>
      <c r="Y180" s="721"/>
      <c r="AA180" s="724"/>
      <c r="AD180" s="33" t="str">
        <f t="shared" ref="AD180" si="9">C180&amp;F180</f>
        <v>MyanmarLC bn</v>
      </c>
    </row>
    <row r="181" spans="1:31" ht="84.65" customHeight="1">
      <c r="A181" s="1268"/>
      <c r="B181" s="1268"/>
      <c r="C181" s="1256"/>
      <c r="D181" s="1260"/>
      <c r="E181" s="35"/>
      <c r="F181" s="175" t="s">
        <v>116</v>
      </c>
      <c r="G181" s="258">
        <v>0.58733903180831615</v>
      </c>
      <c r="H181" s="258">
        <v>0.13059822221699338</v>
      </c>
      <c r="I181" s="1185"/>
      <c r="J181" s="258">
        <v>0.45674080959132279</v>
      </c>
      <c r="K181" s="1238"/>
      <c r="L181" s="258"/>
      <c r="M181" s="905"/>
      <c r="N181" s="509"/>
      <c r="O181" s="506" t="s">
        <v>116</v>
      </c>
      <c r="P181" s="757">
        <v>0.21178090089242169</v>
      </c>
      <c r="Q181" s="258">
        <v>0.21178090089242169</v>
      </c>
      <c r="R181" s="1238"/>
      <c r="S181" s="35"/>
      <c r="T181" s="175" t="s">
        <v>116</v>
      </c>
      <c r="U181" s="258"/>
      <c r="V181" s="900"/>
      <c r="W181" s="900"/>
      <c r="X181" s="900"/>
      <c r="Y181" s="721"/>
      <c r="AA181" s="724"/>
      <c r="AD181" s="33" t="str">
        <f t="shared" ref="AD181" si="10">C180&amp;F181</f>
        <v>MyanmarUSD bn</v>
      </c>
    </row>
    <row r="182" spans="1:31" ht="54.65" customHeight="1">
      <c r="A182" s="1268"/>
      <c r="B182" s="1268"/>
      <c r="C182" s="1257"/>
      <c r="D182" s="1261"/>
      <c r="E182" s="12"/>
      <c r="F182" s="53" t="s">
        <v>117</v>
      </c>
      <c r="G182" s="252">
        <v>0.72281351560912455</v>
      </c>
      <c r="H182" s="252">
        <v>0.16072175527366353</v>
      </c>
      <c r="I182" s="1186"/>
      <c r="J182" s="252">
        <v>0.56209176033546104</v>
      </c>
      <c r="K182" s="1192"/>
      <c r="L182" s="252"/>
      <c r="M182" s="906"/>
      <c r="N182" s="507"/>
      <c r="O182" s="508" t="s">
        <v>117</v>
      </c>
      <c r="P182" s="746">
        <v>0.26062987341675165</v>
      </c>
      <c r="Q182" s="252">
        <v>0.26062987341675165</v>
      </c>
      <c r="R182" s="1192"/>
      <c r="S182" s="12"/>
      <c r="T182" s="53" t="s">
        <v>117</v>
      </c>
      <c r="U182" s="252"/>
      <c r="V182" s="901"/>
      <c r="W182" s="901"/>
      <c r="X182" s="901"/>
      <c r="Y182" s="721"/>
      <c r="AA182" s="724"/>
      <c r="AD182" s="33" t="str">
        <f t="shared" ref="AD182" si="11">C180&amp;F182</f>
        <v>Myanmar% GDP</v>
      </c>
    </row>
    <row r="183" spans="1:31" ht="75.650000000000006" customHeight="1">
      <c r="A183" s="1268">
        <v>0</v>
      </c>
      <c r="B183" s="1268" t="s">
        <v>862</v>
      </c>
      <c r="C183" s="1255" t="s">
        <v>915</v>
      </c>
      <c r="D183" s="1259" t="s">
        <v>571</v>
      </c>
      <c r="E183" s="16"/>
      <c r="F183" s="38" t="s">
        <v>115</v>
      </c>
      <c r="G183" s="253">
        <v>58.49</v>
      </c>
      <c r="H183" s="253">
        <v>25.75</v>
      </c>
      <c r="I183" s="1262" t="s">
        <v>1521</v>
      </c>
      <c r="J183" s="253">
        <v>32.74</v>
      </c>
      <c r="K183" s="1228" t="s">
        <v>1470</v>
      </c>
      <c r="L183" s="286"/>
      <c r="M183" s="761"/>
      <c r="N183" s="16"/>
      <c r="O183" s="38" t="s">
        <v>115</v>
      </c>
      <c r="P183" s="813">
        <v>100</v>
      </c>
      <c r="Q183" s="253">
        <v>50</v>
      </c>
      <c r="R183" s="1184" t="s">
        <v>1170</v>
      </c>
      <c r="S183" s="16"/>
      <c r="T183" s="38" t="s">
        <v>115</v>
      </c>
      <c r="U183" s="253">
        <v>50</v>
      </c>
      <c r="V183" s="1184" t="s">
        <v>1302</v>
      </c>
      <c r="W183" s="758"/>
      <c r="X183" s="758"/>
      <c r="Y183" s="721"/>
      <c r="AA183" s="724"/>
      <c r="AD183" s="33" t="str">
        <f t="shared" ref="AD183" si="12">C183&amp;F183</f>
        <v>NigerLC bn</v>
      </c>
    </row>
    <row r="184" spans="1:31" ht="91.5" customHeight="1">
      <c r="A184" s="1268"/>
      <c r="B184" s="1268"/>
      <c r="C184" s="1256"/>
      <c r="D184" s="1260"/>
      <c r="E184" s="35"/>
      <c r="F184" s="175" t="s">
        <v>116</v>
      </c>
      <c r="G184" s="258">
        <v>0.10176470509427343</v>
      </c>
      <c r="H184" s="258">
        <v>4.4801524297786645E-2</v>
      </c>
      <c r="I184" s="1263"/>
      <c r="J184" s="258">
        <v>5.6963180796486788E-2</v>
      </c>
      <c r="K184" s="1185"/>
      <c r="L184" s="258"/>
      <c r="M184" s="762"/>
      <c r="N184" s="35"/>
      <c r="O184" s="175" t="s">
        <v>116</v>
      </c>
      <c r="P184" s="732">
        <v>0.17398650212732678</v>
      </c>
      <c r="Q184" s="258">
        <v>8.6993251063663388E-2</v>
      </c>
      <c r="R184" s="1185"/>
      <c r="S184" s="35"/>
      <c r="T184" s="175" t="s">
        <v>116</v>
      </c>
      <c r="U184" s="258">
        <v>8.6993251063663388E-2</v>
      </c>
      <c r="V184" s="1185"/>
      <c r="W184" s="759"/>
      <c r="X184" s="759"/>
      <c r="Y184" s="721"/>
      <c r="AA184" s="724"/>
      <c r="AD184" s="33" t="str">
        <f t="shared" ref="AD184" si="13">C183&amp;F184</f>
        <v>NigerUSD bn</v>
      </c>
    </row>
    <row r="185" spans="1:31" ht="144.65" customHeight="1">
      <c r="A185" s="1268"/>
      <c r="B185" s="1268"/>
      <c r="C185" s="1257"/>
      <c r="D185" s="1261"/>
      <c r="E185" s="12"/>
      <c r="F185" s="53" t="s">
        <v>117</v>
      </c>
      <c r="G185" s="252">
        <v>0.73950497267868009</v>
      </c>
      <c r="H185" s="252">
        <v>0.32556425109379405</v>
      </c>
      <c r="I185" s="1264"/>
      <c r="J185" s="252">
        <v>0.4139407215848861</v>
      </c>
      <c r="K185" s="1186"/>
      <c r="L185" s="252"/>
      <c r="M185" s="763"/>
      <c r="N185" s="12"/>
      <c r="O185" s="53" t="s">
        <v>117</v>
      </c>
      <c r="P185" s="499">
        <v>1.2643271887137633</v>
      </c>
      <c r="Q185" s="252">
        <v>0.63216359435688163</v>
      </c>
      <c r="R185" s="1186"/>
      <c r="S185" s="12"/>
      <c r="T185" s="53" t="s">
        <v>117</v>
      </c>
      <c r="U185" s="252">
        <v>0.63216359435688163</v>
      </c>
      <c r="V185" s="1186"/>
      <c r="W185" s="760"/>
      <c r="X185" s="760"/>
      <c r="Y185" s="721"/>
      <c r="AA185" s="724"/>
      <c r="AD185" s="33" t="str">
        <f t="shared" ref="AD185" si="14">C183&amp;F185</f>
        <v>Niger% GDP</v>
      </c>
    </row>
    <row r="186" spans="1:31" s="225" customFormat="1" ht="85" customHeight="1">
      <c r="A186" s="1268">
        <v>0</v>
      </c>
      <c r="B186" s="1268" t="s">
        <v>862</v>
      </c>
      <c r="C186" s="1256" t="s">
        <v>29</v>
      </c>
      <c r="D186" s="1252" t="s">
        <v>570</v>
      </c>
      <c r="E186" s="728"/>
      <c r="F186" s="175" t="s">
        <v>115</v>
      </c>
      <c r="G186" s="934">
        <v>3729</v>
      </c>
      <c r="H186" s="723">
        <v>2372</v>
      </c>
      <c r="I186" s="1185" t="s">
        <v>1682</v>
      </c>
      <c r="J186" s="118">
        <v>1357</v>
      </c>
      <c r="K186" s="1238" t="s">
        <v>1559</v>
      </c>
      <c r="L186" s="721"/>
      <c r="M186" s="721"/>
      <c r="N186" s="728"/>
      <c r="O186" s="175" t="s">
        <v>115</v>
      </c>
      <c r="P186" s="721"/>
      <c r="Q186" s="277"/>
      <c r="R186" s="721"/>
      <c r="S186" s="728"/>
      <c r="T186" s="175" t="s">
        <v>115</v>
      </c>
      <c r="U186" s="729"/>
      <c r="V186" s="721"/>
      <c r="W186" s="721"/>
      <c r="X186" s="721"/>
      <c r="Y186" s="205"/>
      <c r="Z186" s="224"/>
      <c r="AA186" s="205"/>
      <c r="AD186" s="33" t="str">
        <f t="shared" ref="AD186" si="15">C186&amp;F186</f>
        <v>NigeriaLC bn</v>
      </c>
      <c r="AE186" s="33"/>
    </row>
    <row r="187" spans="1:31" s="37" customFormat="1" ht="106.5" customHeight="1">
      <c r="A187" s="1268"/>
      <c r="B187" s="1268"/>
      <c r="C187" s="1256"/>
      <c r="D187" s="1253"/>
      <c r="E187" s="225"/>
      <c r="F187" s="175" t="s">
        <v>116</v>
      </c>
      <c r="G187" s="532">
        <v>10.381162278157996</v>
      </c>
      <c r="H187" s="258">
        <v>6.6034102772300267</v>
      </c>
      <c r="I187" s="1185"/>
      <c r="J187" s="532">
        <v>3.7777520009279706</v>
      </c>
      <c r="K187" s="1238"/>
      <c r="L187" s="290"/>
      <c r="M187" s="290"/>
      <c r="N187" s="225"/>
      <c r="O187" s="175" t="s">
        <v>116</v>
      </c>
      <c r="P187" s="206"/>
      <c r="Q187" s="277"/>
      <c r="R187" s="206"/>
      <c r="S187" s="225"/>
      <c r="T187" s="175" t="s">
        <v>116</v>
      </c>
      <c r="U187" s="259"/>
      <c r="V187" s="206"/>
      <c r="W187" s="296"/>
      <c r="X187" s="296"/>
      <c r="Y187" s="206"/>
      <c r="Z187" s="225"/>
      <c r="AA187" s="206"/>
      <c r="AD187" s="33" t="str">
        <f t="shared" ref="AD187" si="16">C186&amp;F187</f>
        <v>NigeriaUSD bn</v>
      </c>
      <c r="AE187" s="33"/>
    </row>
    <row r="188" spans="1:31" ht="86.5" customHeight="1">
      <c r="A188" s="1268"/>
      <c r="B188" s="1268"/>
      <c r="C188" s="1257"/>
      <c r="D188" s="1254"/>
      <c r="E188" s="12"/>
      <c r="F188" s="53" t="s">
        <v>117</v>
      </c>
      <c r="G188" s="252">
        <v>2.4174676981648453</v>
      </c>
      <c r="H188" s="252">
        <v>1.5377402467275443</v>
      </c>
      <c r="I188" s="1186"/>
      <c r="J188" s="252">
        <v>0.8797274514373008</v>
      </c>
      <c r="K188" s="1192"/>
      <c r="L188" s="291"/>
      <c r="M188" s="291"/>
      <c r="N188" s="12"/>
      <c r="O188" s="53" t="s">
        <v>117</v>
      </c>
      <c r="P188" s="57"/>
      <c r="Q188" s="267"/>
      <c r="R188" s="57"/>
      <c r="S188" s="12"/>
      <c r="T188" s="53" t="s">
        <v>117</v>
      </c>
      <c r="U188" s="252"/>
      <c r="V188" s="207"/>
      <c r="W188" s="297"/>
      <c r="X188" s="297"/>
      <c r="Y188" s="207"/>
      <c r="Z188" s="52"/>
      <c r="AA188" s="220"/>
      <c r="AD188" s="33" t="str">
        <f t="shared" ref="AD188" si="17">C186&amp;F188</f>
        <v>Nigeria% GDP</v>
      </c>
    </row>
    <row r="189" spans="1:31" ht="58.5" customHeight="1">
      <c r="A189" s="1268">
        <v>0</v>
      </c>
      <c r="B189" s="1268" t="s">
        <v>862</v>
      </c>
      <c r="C189" s="1256" t="s">
        <v>93</v>
      </c>
      <c r="D189" s="1266" t="s">
        <v>571</v>
      </c>
      <c r="E189" s="14"/>
      <c r="F189" s="38" t="s">
        <v>115</v>
      </c>
      <c r="G189" s="255">
        <v>795</v>
      </c>
      <c r="H189" s="119">
        <v>181</v>
      </c>
      <c r="I189" s="1190" t="s">
        <v>1606</v>
      </c>
      <c r="J189" s="1043">
        <v>614</v>
      </c>
      <c r="K189" s="1190" t="s">
        <v>1607</v>
      </c>
      <c r="L189" s="1042">
        <v>80</v>
      </c>
      <c r="M189" s="1190" t="s">
        <v>1551</v>
      </c>
      <c r="N189" s="14"/>
      <c r="O189" s="175" t="s">
        <v>115</v>
      </c>
      <c r="P189" s="255">
        <v>200</v>
      </c>
      <c r="Q189" s="282"/>
      <c r="R189" s="1190"/>
      <c r="S189" s="14"/>
      <c r="T189" s="175" t="s">
        <v>115</v>
      </c>
      <c r="U189" s="255">
        <v>200</v>
      </c>
      <c r="V189" s="1184" t="s">
        <v>1471</v>
      </c>
      <c r="W189" s="295"/>
      <c r="X189" s="295"/>
      <c r="Y189" s="205"/>
      <c r="Z189" s="14"/>
      <c r="AA189" s="205"/>
      <c r="AD189" s="33" t="str">
        <f t="shared" ref="AD189" si="18">C189&amp;F189</f>
        <v>SenegalLC bn</v>
      </c>
    </row>
    <row r="190" spans="1:31" ht="58.5" customHeight="1">
      <c r="A190" s="1268"/>
      <c r="B190" s="1268"/>
      <c r="C190" s="1256"/>
      <c r="D190" s="1266"/>
      <c r="E190" s="37"/>
      <c r="F190" s="175" t="s">
        <v>116</v>
      </c>
      <c r="G190" s="258">
        <v>1.3831990179032452</v>
      </c>
      <c r="H190" s="258">
        <v>0.31491700910753129</v>
      </c>
      <c r="I190" s="1238"/>
      <c r="J190" s="258">
        <v>1.0682820087957139</v>
      </c>
      <c r="K190" s="1238"/>
      <c r="L190" s="258">
        <v>0.13918983827957185</v>
      </c>
      <c r="M190" s="1238"/>
      <c r="N190" s="37"/>
      <c r="O190" s="175" t="s">
        <v>116</v>
      </c>
      <c r="P190" s="269">
        <v>0.34797459569892963</v>
      </c>
      <c r="Q190" s="269"/>
      <c r="R190" s="1191"/>
      <c r="S190" s="37"/>
      <c r="T190" s="175" t="s">
        <v>116</v>
      </c>
      <c r="U190" s="258">
        <v>0.34797459569892963</v>
      </c>
      <c r="V190" s="1219"/>
      <c r="W190" s="296"/>
      <c r="X190" s="296"/>
      <c r="Y190" s="206"/>
      <c r="Z190" s="37"/>
      <c r="AA190" s="206"/>
      <c r="AD190" s="33" t="str">
        <f t="shared" ref="AD190" si="19">C189&amp;F190</f>
        <v>SenegalUSD bn</v>
      </c>
    </row>
    <row r="191" spans="1:31" ht="87.65" customHeight="1">
      <c r="A191" s="1268"/>
      <c r="B191" s="1268"/>
      <c r="C191" s="1257"/>
      <c r="D191" s="1261"/>
      <c r="E191" s="12"/>
      <c r="F191" s="53" t="s">
        <v>117</v>
      </c>
      <c r="G191" s="252">
        <v>5.6043392101381073</v>
      </c>
      <c r="H191" s="252">
        <v>1.2759564742578584</v>
      </c>
      <c r="I191" s="1192"/>
      <c r="J191" s="252">
        <v>4.3283827358802496</v>
      </c>
      <c r="K191" s="1192"/>
      <c r="L191" s="252">
        <v>0.56395866265540706</v>
      </c>
      <c r="M191" s="1192"/>
      <c r="N191" s="12"/>
      <c r="O191" s="53" t="s">
        <v>117</v>
      </c>
      <c r="P191" s="267">
        <v>1.4098966566385176</v>
      </c>
      <c r="Q191" s="267"/>
      <c r="R191" s="1192"/>
      <c r="S191" s="12"/>
      <c r="T191" s="53" t="s">
        <v>117</v>
      </c>
      <c r="U191" s="252">
        <v>1.4098966566385176</v>
      </c>
      <c r="V191" s="1186"/>
      <c r="W191" s="297"/>
      <c r="X191" s="297"/>
      <c r="Y191" s="207"/>
      <c r="Z191" s="52"/>
      <c r="AA191" s="220"/>
      <c r="AD191" s="33" t="str">
        <f t="shared" ref="AD191" si="20">C189&amp;F191</f>
        <v>Senegal% GDP</v>
      </c>
    </row>
    <row r="192" spans="1:31" ht="133.5" customHeight="1">
      <c r="A192" s="1268">
        <v>0</v>
      </c>
      <c r="B192" s="1268" t="s">
        <v>862</v>
      </c>
      <c r="C192" s="1255" t="s">
        <v>913</v>
      </c>
      <c r="D192" s="1259" t="s">
        <v>570</v>
      </c>
      <c r="E192" s="16"/>
      <c r="F192" s="38" t="s">
        <v>115</v>
      </c>
      <c r="G192" s="186">
        <v>34100</v>
      </c>
      <c r="H192" s="186">
        <v>7050</v>
      </c>
      <c r="I192" s="1184" t="s">
        <v>1608</v>
      </c>
      <c r="J192" s="186">
        <v>27050</v>
      </c>
      <c r="K192" s="1184" t="s">
        <v>1609</v>
      </c>
      <c r="L192" s="286"/>
      <c r="M192" s="1026"/>
      <c r="N192" s="16"/>
      <c r="O192" s="38" t="s">
        <v>115</v>
      </c>
      <c r="P192" s="186">
        <v>12375</v>
      </c>
      <c r="Q192" s="186">
        <v>12375</v>
      </c>
      <c r="R192" s="1190" t="s">
        <v>1316</v>
      </c>
      <c r="S192" s="16"/>
      <c r="T192" s="38" t="s">
        <v>115</v>
      </c>
      <c r="U192" s="286"/>
      <c r="V192" s="1023"/>
      <c r="W192" s="1023"/>
      <c r="X192" s="1023"/>
      <c r="Y192" s="721"/>
      <c r="AA192" s="724"/>
      <c r="AD192" s="33" t="str">
        <f t="shared" ref="AD192" si="21">C192&amp;F192</f>
        <v>UzbekistanLC bn</v>
      </c>
    </row>
    <row r="193" spans="1:30" ht="117.65" customHeight="1">
      <c r="A193" s="1268"/>
      <c r="B193" s="1268"/>
      <c r="C193" s="1256"/>
      <c r="D193" s="1260"/>
      <c r="E193" s="35"/>
      <c r="F193" s="175" t="s">
        <v>116</v>
      </c>
      <c r="G193" s="258">
        <v>3.3915014286441689</v>
      </c>
      <c r="H193" s="258">
        <v>0.70117551530619915</v>
      </c>
      <c r="I193" s="1185"/>
      <c r="J193" s="258">
        <v>2.6903259133379698</v>
      </c>
      <c r="K193" s="1185"/>
      <c r="L193" s="258"/>
      <c r="M193" s="1027"/>
      <c r="N193" s="35"/>
      <c r="O193" s="175" t="s">
        <v>116</v>
      </c>
      <c r="P193" s="269">
        <v>1.2307868087821581</v>
      </c>
      <c r="Q193" s="258">
        <v>1.2307868087821581</v>
      </c>
      <c r="R193" s="1191"/>
      <c r="S193" s="35"/>
      <c r="T193" s="175" t="s">
        <v>116</v>
      </c>
      <c r="U193" s="258"/>
      <c r="V193" s="1024"/>
      <c r="W193" s="1024"/>
      <c r="X193" s="1024"/>
      <c r="Y193" s="721"/>
      <c r="AA193" s="724"/>
      <c r="AD193" s="33" t="str">
        <f t="shared" ref="AD193" si="22">C192&amp;F193</f>
        <v>UzbekistanUSD bn</v>
      </c>
    </row>
    <row r="194" spans="1:30" ht="10.5" customHeight="1">
      <c r="A194" s="1268"/>
      <c r="B194" s="1268"/>
      <c r="C194" s="1257"/>
      <c r="D194" s="1261"/>
      <c r="E194" s="12"/>
      <c r="F194" s="53" t="s">
        <v>117</v>
      </c>
      <c r="G194" s="252">
        <v>5.6592682383610757</v>
      </c>
      <c r="H194" s="252">
        <v>1.1700246651157062</v>
      </c>
      <c r="I194" s="1186"/>
      <c r="J194" s="252">
        <v>4.4892435732453695</v>
      </c>
      <c r="K194" s="1186"/>
      <c r="L194" s="252"/>
      <c r="M194" s="1028"/>
      <c r="N194" s="12"/>
      <c r="O194" s="53" t="s">
        <v>117</v>
      </c>
      <c r="P194" s="267">
        <v>2.0537666994052293</v>
      </c>
      <c r="Q194" s="252">
        <v>2.0537666994052293</v>
      </c>
      <c r="R194" s="1192"/>
      <c r="S194" s="12"/>
      <c r="T194" s="53" t="s">
        <v>117</v>
      </c>
      <c r="U194" s="252"/>
      <c r="V194" s="1025"/>
      <c r="W194" s="1025"/>
      <c r="X194" s="1025"/>
      <c r="Y194" s="721"/>
      <c r="AA194" s="724"/>
      <c r="AD194" s="33" t="str">
        <f t="shared" ref="AD194" si="23">C192&amp;F194</f>
        <v>Uzbekistan% GDP</v>
      </c>
    </row>
    <row r="195" spans="1:30" ht="83.5" customHeight="1">
      <c r="A195" s="1268">
        <v>0</v>
      </c>
      <c r="B195" s="1268" t="s">
        <v>862</v>
      </c>
      <c r="C195" s="1256" t="s">
        <v>33</v>
      </c>
      <c r="D195" s="1266" t="s">
        <v>583</v>
      </c>
      <c r="E195" s="14"/>
      <c r="F195" s="38" t="s">
        <v>115</v>
      </c>
      <c r="G195" s="186">
        <v>141030</v>
      </c>
      <c r="H195" s="185">
        <v>31900</v>
      </c>
      <c r="I195" s="1233" t="s">
        <v>1478</v>
      </c>
      <c r="J195" s="475">
        <v>109130</v>
      </c>
      <c r="K195" s="1184" t="s">
        <v>1486</v>
      </c>
      <c r="L195" s="185">
        <v>295000</v>
      </c>
      <c r="M195" s="1258" t="s">
        <v>1479</v>
      </c>
      <c r="N195" s="14"/>
      <c r="O195" s="175" t="s">
        <v>115</v>
      </c>
      <c r="P195" s="186">
        <v>76100</v>
      </c>
      <c r="Q195" s="186">
        <v>26000</v>
      </c>
      <c r="R195" s="1184" t="s">
        <v>1660</v>
      </c>
      <c r="S195" s="14"/>
      <c r="T195" s="175" t="s">
        <v>115</v>
      </c>
      <c r="U195" s="176"/>
      <c r="V195" s="205"/>
      <c r="W195" s="186">
        <v>50100</v>
      </c>
      <c r="X195" s="1184" t="s">
        <v>1661</v>
      </c>
      <c r="Y195" s="1184" t="s">
        <v>295</v>
      </c>
      <c r="Z195" s="14"/>
      <c r="AA195" s="205"/>
      <c r="AD195" s="33" t="str">
        <f t="shared" ref="AD195" si="24">C195&amp;F195</f>
        <v>VietnamLC bn</v>
      </c>
    </row>
    <row r="196" spans="1:30" ht="80.5" customHeight="1">
      <c r="A196" s="1268"/>
      <c r="B196" s="1268"/>
      <c r="C196" s="1256"/>
      <c r="D196" s="1266"/>
      <c r="E196" s="35"/>
      <c r="F196" s="175" t="s">
        <v>116</v>
      </c>
      <c r="G196" s="258">
        <v>6.074238065187715</v>
      </c>
      <c r="H196" s="258">
        <v>1.3739501827943565</v>
      </c>
      <c r="I196" s="1265"/>
      <c r="J196" s="258">
        <v>4.7002878823933587</v>
      </c>
      <c r="K196" s="1185"/>
      <c r="L196" s="258">
        <v>12.70580890044938</v>
      </c>
      <c r="M196" s="1284"/>
      <c r="N196" s="35"/>
      <c r="O196" s="175" t="s">
        <v>116</v>
      </c>
      <c r="P196" s="473">
        <v>3.2776679909294839</v>
      </c>
      <c r="Q196" s="473">
        <v>1.119834004785369</v>
      </c>
      <c r="R196" s="1185"/>
      <c r="S196" s="35"/>
      <c r="T196" s="175" t="s">
        <v>116</v>
      </c>
      <c r="U196" s="258"/>
      <c r="V196" s="206"/>
      <c r="W196" s="473">
        <v>2.1578339861441149</v>
      </c>
      <c r="X196" s="1185"/>
      <c r="Y196" s="1185"/>
      <c r="AA196" s="219"/>
      <c r="AD196" s="33" t="str">
        <f t="shared" ref="AD196" si="25">C195&amp;F196</f>
        <v>VietnamUSD bn</v>
      </c>
    </row>
    <row r="197" spans="1:30" ht="45.75" customHeight="1">
      <c r="A197" s="1268"/>
      <c r="B197" s="1268"/>
      <c r="C197" s="1257"/>
      <c r="D197" s="1261"/>
      <c r="E197" s="12"/>
      <c r="F197" s="53" t="s">
        <v>117</v>
      </c>
      <c r="G197" s="252">
        <v>1.7703277371912942</v>
      </c>
      <c r="H197" s="252">
        <v>0.40043575704745288</v>
      </c>
      <c r="I197" s="1248"/>
      <c r="J197" s="252">
        <v>1.3698919801438412</v>
      </c>
      <c r="K197" s="1186"/>
      <c r="L197" s="252">
        <v>3.7030892893103009</v>
      </c>
      <c r="M197" s="1243"/>
      <c r="N197" s="12"/>
      <c r="O197" s="53" t="s">
        <v>117</v>
      </c>
      <c r="P197" s="552">
        <v>0.95527150819157258</v>
      </c>
      <c r="Q197" s="552">
        <v>0.3263739712612469</v>
      </c>
      <c r="R197" s="1186"/>
      <c r="S197" s="12"/>
      <c r="T197" s="53" t="s">
        <v>117</v>
      </c>
      <c r="U197" s="252"/>
      <c r="V197" s="207"/>
      <c r="W197" s="552">
        <v>0.62889753693032568</v>
      </c>
      <c r="X197" s="1186"/>
      <c r="Y197" s="1186"/>
      <c r="Z197" s="52"/>
      <c r="AA197" s="220"/>
      <c r="AD197" s="33" t="str">
        <f t="shared" ref="AD197" si="26">C195&amp;F197</f>
        <v>Vietnam% GDP</v>
      </c>
    </row>
    <row r="198" spans="1:30" ht="58.5" customHeight="1">
      <c r="A198" s="1268">
        <v>0</v>
      </c>
      <c r="B198" s="1268" t="s">
        <v>862</v>
      </c>
      <c r="C198" s="1255" t="s">
        <v>916</v>
      </c>
      <c r="D198" s="1259" t="s">
        <v>571</v>
      </c>
      <c r="E198" s="16"/>
      <c r="F198" s="38" t="s">
        <v>115</v>
      </c>
      <c r="G198" s="286">
        <v>7.1</v>
      </c>
      <c r="H198" s="286">
        <v>1</v>
      </c>
      <c r="I198" s="1190" t="s">
        <v>1522</v>
      </c>
      <c r="J198" s="286">
        <v>6.1</v>
      </c>
      <c r="K198" s="1190" t="s">
        <v>1523</v>
      </c>
      <c r="L198" s="286"/>
      <c r="M198" s="725"/>
      <c r="N198" s="16"/>
      <c r="O198" s="38" t="s">
        <v>115</v>
      </c>
      <c r="P198" s="733">
        <v>0.9</v>
      </c>
      <c r="Q198" s="733">
        <v>0.9</v>
      </c>
      <c r="R198" s="1184" t="s">
        <v>1178</v>
      </c>
      <c r="S198" s="16"/>
      <c r="T198" s="38" t="s">
        <v>115</v>
      </c>
      <c r="U198" s="286"/>
      <c r="V198" s="720"/>
      <c r="W198" s="733"/>
      <c r="X198" s="720"/>
      <c r="Y198" s="721"/>
      <c r="AA198" s="724"/>
      <c r="AD198" s="33" t="str">
        <f t="shared" ref="AD198" si="27">C198&amp;F198</f>
        <v>ZambiaLC bn</v>
      </c>
    </row>
    <row r="199" spans="1:30" ht="58.5" customHeight="1">
      <c r="A199" s="1268"/>
      <c r="B199" s="1268"/>
      <c r="C199" s="1256"/>
      <c r="D199" s="1260"/>
      <c r="E199" s="35"/>
      <c r="F199" s="175" t="s">
        <v>116</v>
      </c>
      <c r="G199" s="258">
        <v>0.38704558122717753</v>
      </c>
      <c r="H199" s="258">
        <v>5.4513462144672897E-2</v>
      </c>
      <c r="I199" s="1238"/>
      <c r="J199" s="258">
        <v>0.33253211908250463</v>
      </c>
      <c r="K199" s="1238"/>
      <c r="L199" s="258"/>
      <c r="M199" s="726"/>
      <c r="N199" s="35"/>
      <c r="O199" s="175" t="s">
        <v>116</v>
      </c>
      <c r="P199" s="473">
        <v>4.9062115930205603E-2</v>
      </c>
      <c r="Q199" s="258">
        <v>4.9062115930205603E-2</v>
      </c>
      <c r="R199" s="1185"/>
      <c r="S199" s="35"/>
      <c r="T199" s="175" t="s">
        <v>116</v>
      </c>
      <c r="U199" s="258"/>
      <c r="V199" s="721"/>
      <c r="W199" s="473"/>
      <c r="X199" s="721"/>
      <c r="Y199" s="721"/>
      <c r="AA199" s="724"/>
      <c r="AD199" s="33" t="str">
        <f t="shared" ref="AD199" si="28">C198&amp;F199</f>
        <v>ZambiaUSD bn</v>
      </c>
    </row>
    <row r="200" spans="1:30" ht="130.5" customHeight="1">
      <c r="A200" s="1268"/>
      <c r="B200" s="1268"/>
      <c r="C200" s="1257"/>
      <c r="D200" s="1261"/>
      <c r="E200" s="12"/>
      <c r="F200" s="53" t="s">
        <v>117</v>
      </c>
      <c r="G200" s="252">
        <v>2.0034076510126715</v>
      </c>
      <c r="H200" s="252">
        <v>0.28217009169192564</v>
      </c>
      <c r="I200" s="1192"/>
      <c r="J200" s="252">
        <v>1.7212375593207461</v>
      </c>
      <c r="K200" s="1192"/>
      <c r="L200" s="252"/>
      <c r="M200" s="727"/>
      <c r="N200" s="12"/>
      <c r="O200" s="53" t="s">
        <v>117</v>
      </c>
      <c r="P200" s="552">
        <v>0.25395308252273302</v>
      </c>
      <c r="Q200" s="252">
        <v>0.25395308252273302</v>
      </c>
      <c r="R200" s="1186"/>
      <c r="S200" s="12"/>
      <c r="T200" s="53" t="s">
        <v>117</v>
      </c>
      <c r="U200" s="252"/>
      <c r="V200" s="722"/>
      <c r="W200" s="552"/>
      <c r="X200" s="722"/>
      <c r="Y200" s="721"/>
      <c r="AA200" s="724"/>
      <c r="AD200" s="33" t="str">
        <f t="shared" ref="AD200" si="29">C198&amp;F200</f>
        <v>Zambia% GDP</v>
      </c>
    </row>
    <row r="201" spans="1:30" ht="21.65" customHeight="1">
      <c r="C201" s="35" t="s">
        <v>108</v>
      </c>
      <c r="D201" s="603"/>
    </row>
    <row r="202" spans="1:30" ht="44.5" customHeight="1">
      <c r="C202" s="1267" t="s">
        <v>1778</v>
      </c>
      <c r="D202" s="1267"/>
      <c r="E202" s="1267"/>
      <c r="F202" s="1267"/>
      <c r="G202" s="1267"/>
      <c r="H202" s="1267"/>
      <c r="I202" s="1267"/>
      <c r="J202" s="1267"/>
      <c r="K202" s="1267"/>
      <c r="L202" s="1267"/>
      <c r="M202" s="1267"/>
      <c r="N202" s="1267"/>
      <c r="O202" s="1267"/>
      <c r="P202" s="1267"/>
      <c r="Q202" s="1267"/>
      <c r="R202" s="1267"/>
      <c r="S202" s="1267"/>
      <c r="T202" s="1267"/>
      <c r="U202" s="1267"/>
      <c r="V202" s="1267"/>
      <c r="W202" s="1267"/>
      <c r="X202" s="1267"/>
    </row>
    <row r="203" spans="1:30">
      <c r="C203" s="35" t="s">
        <v>1219</v>
      </c>
      <c r="D203" s="603"/>
    </row>
    <row r="204" spans="1:30" ht="15.65" customHeight="1">
      <c r="C204" s="35" t="s">
        <v>1484</v>
      </c>
      <c r="D204" s="603"/>
    </row>
  </sheetData>
  <autoFilter ref="A5:F203" xr:uid="{70D8D969-D19A-4A37-9D57-5E4D8D57F6B2}"/>
  <mergeCells count="602">
    <mergeCell ref="D18:D20"/>
    <mergeCell ref="I18:I20"/>
    <mergeCell ref="K18:K20"/>
    <mergeCell ref="M18:M20"/>
    <mergeCell ref="R18:R20"/>
    <mergeCell ref="V18:V20"/>
    <mergeCell ref="Y18:Y20"/>
    <mergeCell ref="AA18:AA20"/>
    <mergeCell ref="C36:C38"/>
    <mergeCell ref="D36:D38"/>
    <mergeCell ref="I36:I38"/>
    <mergeCell ref="K36:K38"/>
    <mergeCell ref="M36:M38"/>
    <mergeCell ref="R36:R38"/>
    <mergeCell ref="V36:V38"/>
    <mergeCell ref="Y36:Y38"/>
    <mergeCell ref="Y24:Y26"/>
    <mergeCell ref="X24:X26"/>
    <mergeCell ref="C21:C23"/>
    <mergeCell ref="I21:I23"/>
    <mergeCell ref="V21:V23"/>
    <mergeCell ref="K21:K23"/>
    <mergeCell ref="AA27:AA29"/>
    <mergeCell ref="C24:C26"/>
    <mergeCell ref="M21:M23"/>
    <mergeCell ref="Y21:Y23"/>
    <mergeCell ref="R21:R23"/>
    <mergeCell ref="X21:X23"/>
    <mergeCell ref="D21:D23"/>
    <mergeCell ref="D24:D26"/>
    <mergeCell ref="D27:D29"/>
    <mergeCell ref="AB9:AB11"/>
    <mergeCell ref="A12:A14"/>
    <mergeCell ref="B12:B14"/>
    <mergeCell ref="C12:C14"/>
    <mergeCell ref="D12:D14"/>
    <mergeCell ref="I12:I14"/>
    <mergeCell ref="K12:K14"/>
    <mergeCell ref="R12:R14"/>
    <mergeCell ref="V12:V14"/>
    <mergeCell ref="Y12:Y14"/>
    <mergeCell ref="C9:C11"/>
    <mergeCell ref="D9:D11"/>
    <mergeCell ref="I9:I11"/>
    <mergeCell ref="K9:K11"/>
    <mergeCell ref="M9:M11"/>
    <mergeCell ref="R9:R11"/>
    <mergeCell ref="A24:A26"/>
    <mergeCell ref="C60:C62"/>
    <mergeCell ref="D60:D62"/>
    <mergeCell ref="I60:I62"/>
    <mergeCell ref="K60:K62"/>
    <mergeCell ref="M60:M62"/>
    <mergeCell ref="R60:R62"/>
    <mergeCell ref="AA60:AA61"/>
    <mergeCell ref="A63:A65"/>
    <mergeCell ref="B63:B65"/>
    <mergeCell ref="C63:C65"/>
    <mergeCell ref="D63:D65"/>
    <mergeCell ref="I63:I65"/>
    <mergeCell ref="K63:K65"/>
    <mergeCell ref="M63:M65"/>
    <mergeCell ref="R63:R65"/>
    <mergeCell ref="V63:V65"/>
    <mergeCell ref="X63:X65"/>
    <mergeCell ref="X39:X41"/>
    <mergeCell ref="A57:A59"/>
    <mergeCell ref="B57:B59"/>
    <mergeCell ref="C57:C59"/>
    <mergeCell ref="D57:D59"/>
    <mergeCell ref="I57:I59"/>
    <mergeCell ref="K57:K59"/>
    <mergeCell ref="M57:M59"/>
    <mergeCell ref="R57:R59"/>
    <mergeCell ref="V57:V59"/>
    <mergeCell ref="X57:X59"/>
    <mergeCell ref="A39:A41"/>
    <mergeCell ref="B39:B41"/>
    <mergeCell ref="C39:C41"/>
    <mergeCell ref="D39:D41"/>
    <mergeCell ref="I39:I41"/>
    <mergeCell ref="K39:K41"/>
    <mergeCell ref="M39:M41"/>
    <mergeCell ref="R39:R41"/>
    <mergeCell ref="V39:V41"/>
    <mergeCell ref="D51:D53"/>
    <mergeCell ref="D42:D44"/>
    <mergeCell ref="M48:M50"/>
    <mergeCell ref="I48:I50"/>
    <mergeCell ref="I162:I164"/>
    <mergeCell ref="K162:K164"/>
    <mergeCell ref="I120:I122"/>
    <mergeCell ref="M120:M122"/>
    <mergeCell ref="R198:R200"/>
    <mergeCell ref="R195:R197"/>
    <mergeCell ref="R192:R194"/>
    <mergeCell ref="R183:R185"/>
    <mergeCell ref="D165:D167"/>
    <mergeCell ref="D174:D176"/>
    <mergeCell ref="D171:D173"/>
    <mergeCell ref="I168:I170"/>
    <mergeCell ref="I150:I152"/>
    <mergeCell ref="D153:D155"/>
    <mergeCell ref="D162:D164"/>
    <mergeCell ref="K120:K122"/>
    <mergeCell ref="V183:V185"/>
    <mergeCell ref="K153:K155"/>
    <mergeCell ref="R168:R170"/>
    <mergeCell ref="V150:V152"/>
    <mergeCell ref="K192:K194"/>
    <mergeCell ref="R150:R152"/>
    <mergeCell ref="M150:M152"/>
    <mergeCell ref="R189:R191"/>
    <mergeCell ref="V189:V191"/>
    <mergeCell ref="R174:R176"/>
    <mergeCell ref="R153:R155"/>
    <mergeCell ref="V153:V155"/>
    <mergeCell ref="K168:K170"/>
    <mergeCell ref="M168:M170"/>
    <mergeCell ref="K150:K152"/>
    <mergeCell ref="C150:C152"/>
    <mergeCell ref="A198:A200"/>
    <mergeCell ref="B198:B200"/>
    <mergeCell ref="A192:A194"/>
    <mergeCell ref="B192:B194"/>
    <mergeCell ref="A183:A185"/>
    <mergeCell ref="B183:B185"/>
    <mergeCell ref="A180:A182"/>
    <mergeCell ref="B180:B182"/>
    <mergeCell ref="B195:B197"/>
    <mergeCell ref="B159:B161"/>
    <mergeCell ref="B150:B152"/>
    <mergeCell ref="B153:B155"/>
    <mergeCell ref="B156:B158"/>
    <mergeCell ref="C162:C164"/>
    <mergeCell ref="D75:D77"/>
    <mergeCell ref="Y105:Y107"/>
    <mergeCell ref="C69:C71"/>
    <mergeCell ref="I69:I71"/>
    <mergeCell ref="Y78:Y79"/>
    <mergeCell ref="C75:C77"/>
    <mergeCell ref="Y75:Y77"/>
    <mergeCell ref="C78:C80"/>
    <mergeCell ref="X78:X80"/>
    <mergeCell ref="D78:D80"/>
    <mergeCell ref="Y81:Y83"/>
    <mergeCell ref="I93:I95"/>
    <mergeCell ref="K93:K95"/>
    <mergeCell ref="R93:R95"/>
    <mergeCell ref="D93:D95"/>
    <mergeCell ref="I102:I104"/>
    <mergeCell ref="V102:V104"/>
    <mergeCell ref="R96:R98"/>
    <mergeCell ref="K99:K101"/>
    <mergeCell ref="V96:V98"/>
    <mergeCell ref="C105:C107"/>
    <mergeCell ref="D105:D107"/>
    <mergeCell ref="I105:I107"/>
    <mergeCell ref="K75:K77"/>
    <mergeCell ref="M66:M68"/>
    <mergeCell ref="R66:R68"/>
    <mergeCell ref="V66:V68"/>
    <mergeCell ref="X66:X68"/>
    <mergeCell ref="I75:I77"/>
    <mergeCell ref="M75:M77"/>
    <mergeCell ref="M78:M80"/>
    <mergeCell ref="I78:I80"/>
    <mergeCell ref="K78:K80"/>
    <mergeCell ref="R78:R80"/>
    <mergeCell ref="V78:V80"/>
    <mergeCell ref="V75:V77"/>
    <mergeCell ref="R69:R71"/>
    <mergeCell ref="X72:X74"/>
    <mergeCell ref="I72:I74"/>
    <mergeCell ref="K72:K74"/>
    <mergeCell ref="M72:M74"/>
    <mergeCell ref="R72:R74"/>
    <mergeCell ref="V72:V74"/>
    <mergeCell ref="R75:R77"/>
    <mergeCell ref="X105:X107"/>
    <mergeCell ref="C126:C128"/>
    <mergeCell ref="D117:D119"/>
    <mergeCell ref="I117:I119"/>
    <mergeCell ref="K117:K119"/>
    <mergeCell ref="C123:C125"/>
    <mergeCell ref="I123:I125"/>
    <mergeCell ref="K123:K125"/>
    <mergeCell ref="R123:R125"/>
    <mergeCell ref="V123:V125"/>
    <mergeCell ref="R126:R128"/>
    <mergeCell ref="V117:V119"/>
    <mergeCell ref="D123:D125"/>
    <mergeCell ref="M123:M125"/>
    <mergeCell ref="X126:X128"/>
    <mergeCell ref="C117:C119"/>
    <mergeCell ref="R117:R119"/>
    <mergeCell ref="K105:K107"/>
    <mergeCell ref="R105:R107"/>
    <mergeCell ref="V105:V107"/>
    <mergeCell ref="X114:X116"/>
    <mergeCell ref="C120:C122"/>
    <mergeCell ref="D120:D122"/>
    <mergeCell ref="X156:X158"/>
    <mergeCell ref="D126:D128"/>
    <mergeCell ref="D132:D134"/>
    <mergeCell ref="I132:I134"/>
    <mergeCell ref="K132:K134"/>
    <mergeCell ref="M132:M134"/>
    <mergeCell ref="D135:D137"/>
    <mergeCell ref="I135:I137"/>
    <mergeCell ref="K135:K137"/>
    <mergeCell ref="V135:V137"/>
    <mergeCell ref="X135:X137"/>
    <mergeCell ref="M147:M149"/>
    <mergeCell ref="I141:I143"/>
    <mergeCell ref="K141:K143"/>
    <mergeCell ref="X141:X143"/>
    <mergeCell ref="V126:V128"/>
    <mergeCell ref="X150:X152"/>
    <mergeCell ref="X138:X140"/>
    <mergeCell ref="I126:I128"/>
    <mergeCell ref="K126:K128"/>
    <mergeCell ref="X132:X134"/>
    <mergeCell ref="X147:X149"/>
    <mergeCell ref="D150:D152"/>
    <mergeCell ref="T4:X4"/>
    <mergeCell ref="C27:C29"/>
    <mergeCell ref="I27:I29"/>
    <mergeCell ref="K27:K29"/>
    <mergeCell ref="R27:R29"/>
    <mergeCell ref="I33:I35"/>
    <mergeCell ref="K33:K35"/>
    <mergeCell ref="K24:K26"/>
    <mergeCell ref="R24:R26"/>
    <mergeCell ref="V24:V26"/>
    <mergeCell ref="Q4:R4"/>
    <mergeCell ref="H4:M4"/>
    <mergeCell ref="I24:I26"/>
    <mergeCell ref="X27:X29"/>
    <mergeCell ref="M24:M26"/>
    <mergeCell ref="V9:V11"/>
    <mergeCell ref="C15:C17"/>
    <mergeCell ref="D15:D17"/>
    <mergeCell ref="I15:I17"/>
    <mergeCell ref="K15:K17"/>
    <mergeCell ref="M15:M17"/>
    <mergeCell ref="R15:R17"/>
    <mergeCell ref="V15:V17"/>
    <mergeCell ref="C18:C20"/>
    <mergeCell ref="C93:C95"/>
    <mergeCell ref="V93:V95"/>
    <mergeCell ref="C96:C98"/>
    <mergeCell ref="C102:C104"/>
    <mergeCell ref="I96:I98"/>
    <mergeCell ref="D99:D101"/>
    <mergeCell ref="X123:X125"/>
    <mergeCell ref="M105:M107"/>
    <mergeCell ref="Y6:Y8"/>
    <mergeCell ref="D33:D35"/>
    <mergeCell ref="X30:X32"/>
    <mergeCell ref="M27:M29"/>
    <mergeCell ref="V27:V29"/>
    <mergeCell ref="Y45:Y47"/>
    <mergeCell ref="C48:C50"/>
    <mergeCell ref="K48:K50"/>
    <mergeCell ref="C42:C44"/>
    <mergeCell ref="I42:I44"/>
    <mergeCell ref="K42:K44"/>
    <mergeCell ref="R42:R44"/>
    <mergeCell ref="V42:V44"/>
    <mergeCell ref="Y42:Y44"/>
    <mergeCell ref="M42:M44"/>
    <mergeCell ref="M45:M47"/>
    <mergeCell ref="AA6:AA8"/>
    <mergeCell ref="M6:M8"/>
    <mergeCell ref="D6:D8"/>
    <mergeCell ref="C6:C8"/>
    <mergeCell ref="I6:I8"/>
    <mergeCell ref="K6:K8"/>
    <mergeCell ref="R6:R8"/>
    <mergeCell ref="V6:V8"/>
    <mergeCell ref="Y33:Y35"/>
    <mergeCell ref="X33:X35"/>
    <mergeCell ref="Y27:Y29"/>
    <mergeCell ref="AA33:AA35"/>
    <mergeCell ref="C30:C32"/>
    <mergeCell ref="I30:I32"/>
    <mergeCell ref="K30:K32"/>
    <mergeCell ref="R30:R32"/>
    <mergeCell ref="V30:V32"/>
    <mergeCell ref="M30:M32"/>
    <mergeCell ref="M33:M35"/>
    <mergeCell ref="AA30:AA32"/>
    <mergeCell ref="C33:C35"/>
    <mergeCell ref="R33:R35"/>
    <mergeCell ref="V33:V35"/>
    <mergeCell ref="D30:D32"/>
    <mergeCell ref="R45:R47"/>
    <mergeCell ref="V45:V47"/>
    <mergeCell ref="C45:C47"/>
    <mergeCell ref="I45:I47"/>
    <mergeCell ref="K45:K47"/>
    <mergeCell ref="X45:X47"/>
    <mergeCell ref="X42:X44"/>
    <mergeCell ref="D45:D47"/>
    <mergeCell ref="X48:X50"/>
    <mergeCell ref="AA48:AA50"/>
    <mergeCell ref="C51:C53"/>
    <mergeCell ref="I51:I53"/>
    <mergeCell ref="K51:K53"/>
    <mergeCell ref="V51:V53"/>
    <mergeCell ref="C54:C56"/>
    <mergeCell ref="I54:I56"/>
    <mergeCell ref="K54:K56"/>
    <mergeCell ref="R54:R56"/>
    <mergeCell ref="Y54:Y56"/>
    <mergeCell ref="M54:M56"/>
    <mergeCell ref="V48:V50"/>
    <mergeCell ref="R48:R50"/>
    <mergeCell ref="D48:D50"/>
    <mergeCell ref="M51:M53"/>
    <mergeCell ref="R51:R53"/>
    <mergeCell ref="AA54:AA56"/>
    <mergeCell ref="X54:X56"/>
    <mergeCell ref="D54:D56"/>
    <mergeCell ref="AA81:AA83"/>
    <mergeCell ref="C87:C89"/>
    <mergeCell ref="I87:I89"/>
    <mergeCell ref="K87:K89"/>
    <mergeCell ref="R87:R89"/>
    <mergeCell ref="V87:V89"/>
    <mergeCell ref="Y87:Y89"/>
    <mergeCell ref="AA87:AA89"/>
    <mergeCell ref="C81:C83"/>
    <mergeCell ref="K81:K83"/>
    <mergeCell ref="R81:R83"/>
    <mergeCell ref="V81:V83"/>
    <mergeCell ref="C84:C86"/>
    <mergeCell ref="I84:I86"/>
    <mergeCell ref="K84:K86"/>
    <mergeCell ref="R84:R86"/>
    <mergeCell ref="V84:V86"/>
    <mergeCell ref="I81:I83"/>
    <mergeCell ref="M81:M83"/>
    <mergeCell ref="D84:D86"/>
    <mergeCell ref="X84:X86"/>
    <mergeCell ref="M87:M89"/>
    <mergeCell ref="D87:D89"/>
    <mergeCell ref="AA108:AA110"/>
    <mergeCell ref="C111:C113"/>
    <mergeCell ref="K111:K113"/>
    <mergeCell ref="R111:R113"/>
    <mergeCell ref="C114:C116"/>
    <mergeCell ref="I114:I116"/>
    <mergeCell ref="K114:K116"/>
    <mergeCell ref="R114:R116"/>
    <mergeCell ref="V111:V113"/>
    <mergeCell ref="M111:M113"/>
    <mergeCell ref="C108:C110"/>
    <mergeCell ref="I108:I110"/>
    <mergeCell ref="K108:K110"/>
    <mergeCell ref="R108:R110"/>
    <mergeCell ref="Y108:Y110"/>
    <mergeCell ref="D108:D110"/>
    <mergeCell ref="V108:V110"/>
    <mergeCell ref="M108:M110"/>
    <mergeCell ref="I111:I113"/>
    <mergeCell ref="V114:V116"/>
    <mergeCell ref="D111:D113"/>
    <mergeCell ref="M114:M116"/>
    <mergeCell ref="D114:D116"/>
    <mergeCell ref="Y195:Y197"/>
    <mergeCell ref="C186:C188"/>
    <mergeCell ref="I186:I188"/>
    <mergeCell ref="K186:K188"/>
    <mergeCell ref="C189:C191"/>
    <mergeCell ref="I189:I191"/>
    <mergeCell ref="K189:K191"/>
    <mergeCell ref="C159:C161"/>
    <mergeCell ref="I159:I161"/>
    <mergeCell ref="K159:K161"/>
    <mergeCell ref="R159:R161"/>
    <mergeCell ref="C174:C176"/>
    <mergeCell ref="I174:I176"/>
    <mergeCell ref="K174:K176"/>
    <mergeCell ref="M195:M197"/>
    <mergeCell ref="C165:C167"/>
    <mergeCell ref="I171:I173"/>
    <mergeCell ref="K171:K173"/>
    <mergeCell ref="R171:R173"/>
    <mergeCell ref="M174:M176"/>
    <mergeCell ref="V174:V176"/>
    <mergeCell ref="X195:X197"/>
    <mergeCell ref="R165:R167"/>
    <mergeCell ref="D168:D170"/>
    <mergeCell ref="C147:C149"/>
    <mergeCell ref="C141:C143"/>
    <mergeCell ref="C132:C134"/>
    <mergeCell ref="C135:C137"/>
    <mergeCell ref="C138:C140"/>
    <mergeCell ref="C144:C146"/>
    <mergeCell ref="V138:V140"/>
    <mergeCell ref="C129:C131"/>
    <mergeCell ref="D129:D131"/>
    <mergeCell ref="I129:I131"/>
    <mergeCell ref="K129:K131"/>
    <mergeCell ref="M129:M131"/>
    <mergeCell ref="V129:V131"/>
    <mergeCell ref="D144:D146"/>
    <mergeCell ref="I138:I140"/>
    <mergeCell ref="R138:R140"/>
    <mergeCell ref="V141:V143"/>
    <mergeCell ref="D138:D140"/>
    <mergeCell ref="M141:M143"/>
    <mergeCell ref="V132:V134"/>
    <mergeCell ref="M144:M146"/>
    <mergeCell ref="R144:R146"/>
    <mergeCell ref="V144:V146"/>
    <mergeCell ref="D147:D149"/>
    <mergeCell ref="Y153:Y155"/>
    <mergeCell ref="C156:C158"/>
    <mergeCell ref="I156:I158"/>
    <mergeCell ref="K156:K158"/>
    <mergeCell ref="R156:R158"/>
    <mergeCell ref="V156:V158"/>
    <mergeCell ref="C153:C155"/>
    <mergeCell ref="D189:D191"/>
    <mergeCell ref="M189:M191"/>
    <mergeCell ref="M153:M155"/>
    <mergeCell ref="D156:D158"/>
    <mergeCell ref="C168:C170"/>
    <mergeCell ref="C171:C173"/>
    <mergeCell ref="I177:I179"/>
    <mergeCell ref="K177:K179"/>
    <mergeCell ref="M177:M179"/>
    <mergeCell ref="D177:D179"/>
    <mergeCell ref="I153:I155"/>
    <mergeCell ref="D159:D161"/>
    <mergeCell ref="I165:I167"/>
    <mergeCell ref="K165:K167"/>
    <mergeCell ref="X174:X176"/>
    <mergeCell ref="R180:R182"/>
    <mergeCell ref="C177:C179"/>
    <mergeCell ref="V99:V101"/>
    <mergeCell ref="R141:R143"/>
    <mergeCell ref="I144:I146"/>
    <mergeCell ref="K144:K146"/>
    <mergeCell ref="M117:M119"/>
    <mergeCell ref="M135:M137"/>
    <mergeCell ref="D141:D143"/>
    <mergeCell ref="I147:I149"/>
    <mergeCell ref="K147:K149"/>
    <mergeCell ref="V147:V149"/>
    <mergeCell ref="K138:K140"/>
    <mergeCell ref="M99:M101"/>
    <mergeCell ref="A6:A8"/>
    <mergeCell ref="B6:B8"/>
    <mergeCell ref="X108:X110"/>
    <mergeCell ref="K69:K71"/>
    <mergeCell ref="M69:M71"/>
    <mergeCell ref="V69:V71"/>
    <mergeCell ref="D72:D74"/>
    <mergeCell ref="D69:D71"/>
    <mergeCell ref="M96:M98"/>
    <mergeCell ref="C99:C101"/>
    <mergeCell ref="K96:K98"/>
    <mergeCell ref="D102:D104"/>
    <mergeCell ref="M102:M104"/>
    <mergeCell ref="K102:K104"/>
    <mergeCell ref="I99:I101"/>
    <mergeCell ref="D81:D83"/>
    <mergeCell ref="D96:D98"/>
    <mergeCell ref="C72:C74"/>
    <mergeCell ref="C66:C68"/>
    <mergeCell ref="D66:D68"/>
    <mergeCell ref="I66:I68"/>
    <mergeCell ref="K66:K68"/>
    <mergeCell ref="A45:A47"/>
    <mergeCell ref="A21:A23"/>
    <mergeCell ref="A27:A29"/>
    <mergeCell ref="A30:A32"/>
    <mergeCell ref="A33:A35"/>
    <mergeCell ref="A9:A11"/>
    <mergeCell ref="A15:A17"/>
    <mergeCell ref="B21:B23"/>
    <mergeCell ref="B24:B26"/>
    <mergeCell ref="B27:B29"/>
    <mergeCell ref="B30:B32"/>
    <mergeCell ref="B33:B35"/>
    <mergeCell ref="B9:B11"/>
    <mergeCell ref="B15:B17"/>
    <mergeCell ref="A18:A20"/>
    <mergeCell ref="B18:B20"/>
    <mergeCell ref="B36:B38"/>
    <mergeCell ref="B42:B44"/>
    <mergeCell ref="B45:B47"/>
    <mergeCell ref="B48:B50"/>
    <mergeCell ref="B51:B53"/>
    <mergeCell ref="B54:B56"/>
    <mergeCell ref="A36:A38"/>
    <mergeCell ref="A42:A44"/>
    <mergeCell ref="B69:B71"/>
    <mergeCell ref="A60:A62"/>
    <mergeCell ref="B60:B62"/>
    <mergeCell ref="B72:B74"/>
    <mergeCell ref="B75:B77"/>
    <mergeCell ref="B78:B80"/>
    <mergeCell ref="B81:B83"/>
    <mergeCell ref="B84:B86"/>
    <mergeCell ref="B87:B89"/>
    <mergeCell ref="A48:A50"/>
    <mergeCell ref="A51:A53"/>
    <mergeCell ref="A54:A56"/>
    <mergeCell ref="A66:A68"/>
    <mergeCell ref="B66:B68"/>
    <mergeCell ref="A69:A71"/>
    <mergeCell ref="A72:A74"/>
    <mergeCell ref="A75:A77"/>
    <mergeCell ref="A78:A80"/>
    <mergeCell ref="A81:A83"/>
    <mergeCell ref="A84:A86"/>
    <mergeCell ref="B93:B95"/>
    <mergeCell ref="B96:B98"/>
    <mergeCell ref="B99:B101"/>
    <mergeCell ref="B102:B104"/>
    <mergeCell ref="B108:B110"/>
    <mergeCell ref="B111:B113"/>
    <mergeCell ref="B114:B116"/>
    <mergeCell ref="B117:B119"/>
    <mergeCell ref="B123:B125"/>
    <mergeCell ref="B135:B137"/>
    <mergeCell ref="B138:B140"/>
    <mergeCell ref="B141:B143"/>
    <mergeCell ref="A102:A104"/>
    <mergeCell ref="A108:A110"/>
    <mergeCell ref="C192:C194"/>
    <mergeCell ref="I192:I194"/>
    <mergeCell ref="A111:A113"/>
    <mergeCell ref="A114:A116"/>
    <mergeCell ref="A117:A119"/>
    <mergeCell ref="A123:A125"/>
    <mergeCell ref="A126:A128"/>
    <mergeCell ref="A105:A107"/>
    <mergeCell ref="B126:B128"/>
    <mergeCell ref="B105:B107"/>
    <mergeCell ref="B165:B167"/>
    <mergeCell ref="B168:B170"/>
    <mergeCell ref="B171:B173"/>
    <mergeCell ref="B174:B176"/>
    <mergeCell ref="B177:B179"/>
    <mergeCell ref="B186:B188"/>
    <mergeCell ref="B189:B191"/>
    <mergeCell ref="B132:B134"/>
    <mergeCell ref="B144:B146"/>
    <mergeCell ref="C3:X3"/>
    <mergeCell ref="C202:X202"/>
    <mergeCell ref="A165:A167"/>
    <mergeCell ref="A168:A170"/>
    <mergeCell ref="A171:A173"/>
    <mergeCell ref="A174:A176"/>
    <mergeCell ref="A177:A179"/>
    <mergeCell ref="A186:A188"/>
    <mergeCell ref="A189:A191"/>
    <mergeCell ref="A195:A197"/>
    <mergeCell ref="A132:A134"/>
    <mergeCell ref="A135:A137"/>
    <mergeCell ref="A138:A140"/>
    <mergeCell ref="A141:A143"/>
    <mergeCell ref="A144:A146"/>
    <mergeCell ref="A150:A152"/>
    <mergeCell ref="A153:A155"/>
    <mergeCell ref="A156:A158"/>
    <mergeCell ref="A159:A161"/>
    <mergeCell ref="A87:A89"/>
    <mergeCell ref="A93:A95"/>
    <mergeCell ref="A96:A98"/>
    <mergeCell ref="A99:A101"/>
    <mergeCell ref="I90:I92"/>
    <mergeCell ref="D90:D92"/>
    <mergeCell ref="C90:C92"/>
    <mergeCell ref="K90:K92"/>
    <mergeCell ref="V90:V92"/>
    <mergeCell ref="M93:M95"/>
    <mergeCell ref="I198:I200"/>
    <mergeCell ref="K198:K200"/>
    <mergeCell ref="C180:C182"/>
    <mergeCell ref="D180:D182"/>
    <mergeCell ref="I180:I182"/>
    <mergeCell ref="K180:K182"/>
    <mergeCell ref="C183:C185"/>
    <mergeCell ref="D183:D185"/>
    <mergeCell ref="I183:I185"/>
    <mergeCell ref="K183:K185"/>
    <mergeCell ref="C195:C197"/>
    <mergeCell ref="I195:I197"/>
    <mergeCell ref="K195:K197"/>
    <mergeCell ref="D195:D197"/>
    <mergeCell ref="D192:D194"/>
    <mergeCell ref="D186:D188"/>
    <mergeCell ref="D198:D200"/>
    <mergeCell ref="C198:C200"/>
    <mergeCell ref="R99:R101"/>
  </mergeCells>
  <hyperlinks>
    <hyperlink ref="AA48" r:id="rId1" xr:uid="{E418DEAF-07D6-411C-AFDD-8DC61E2CF0F7}"/>
    <hyperlink ref="AA21" r:id="rId2" xr:uid="{6C8E14B4-B70C-4A1E-A455-A6F7B04FEF16}"/>
    <hyperlink ref="AA27" r:id="rId3" xr:uid="{C0A4C094-C26C-4DA3-B968-ABA3B973B134}"/>
    <hyperlink ref="AA33" r:id="rId4" xr:uid="{5693D19D-AB77-41BD-A534-032B9FF5DEB8}"/>
    <hyperlink ref="AA78" r:id="rId5" display="https://fm.dk/nyheder/nyhedsarkiv/2020/april/regeringen-og-alle-folketingets-partier-er-enige-om-at-justere-og-udvide-hjaelpepakker-til-dansk-oekonomi/" xr:uid="{02A4DCF4-BF89-4E25-AAEA-ED1CDE531E05}"/>
    <hyperlink ref="AA81" r:id="rId6" xr:uid="{BFC85FB2-2A2A-42ED-9208-AC21983F910D}"/>
    <hyperlink ref="AA87" r:id="rId7" xr:uid="{41A96C0D-A783-47B3-9346-9A85525FD7AF}"/>
    <hyperlink ref="AA30" r:id="rId8" display="http://www.governo.it/it/articolo/comunicato-stampa-del-consiglio-dei-ministri-n-39/14417" xr:uid="{2C64B99C-F31A-4C67-AA7C-05AB651B9292}"/>
    <hyperlink ref="AA108" r:id="rId9" xr:uid="{4B345B05-671B-4E90-BBDE-90ACADEB116C}"/>
    <hyperlink ref="AA156" r:id="rId10" xr:uid="{9FAA24AE-29A6-4A18-8CCF-AEDA3059171E}"/>
    <hyperlink ref="AA157" r:id="rId11" xr:uid="{D9950EA7-76F0-4C55-90EA-048289697471}"/>
    <hyperlink ref="AB6" r:id="rId12" display="https://treasury.gov.au/coronavirus" xr:uid="{808F3913-6674-479A-A666-B3AE41B114BD}"/>
    <hyperlink ref="AA6" r:id="rId13" xr:uid="{676D9DF9-02A1-4386-927C-BFA488EC18C4}"/>
    <hyperlink ref="AA22" r:id="rId14" display="http://www.mef.gov.it/en/inevidenza/Protect-health-support-the-economy-preserve-employment-levels-and-incomes-00001/" xr:uid="{1A67F185-9DFF-4C5B-A48B-F9AC4A093DA2}"/>
    <hyperlink ref="AA141" r:id="rId15" display="https://urldefense.proofpoint.com/v2/url?u=https-3A__www.gov.pl_web_tarczaantykryzysowa&amp;d=DwMFBA&amp;c=G8CoXqdZ57E1EOn2t2CVrg&amp;r=1dNmfCwUPm-Zyfp8PIjgpWCvO5QO5p2LM0QGFAzgPvI&amp;m=nz2rsJenFWhU9KRBhOJ8maK12Et9Tar9PrzSGpsIzBw&amp;s=CAY3fc6DLo3KDD4wEX63BZhcse8VIq2LHFGPVw4INzI&amp;e=" xr:uid="{C17D02E7-FDB5-48B8-BE93-3A54589E45F8}"/>
    <hyperlink ref="AA77" r:id="rId16" display="https://fm.dk/nyheder/nyhedsarkiv/2020/marts/regeringen-og-arbejdsmarkedets-parter-styrker-trepartsaftalen-om-midlertidig-loenkompensation/" xr:uid="{C1223DC3-4EB7-4E71-9345-143EA86D72E2}"/>
    <hyperlink ref="AA75" r:id="rId17" xr:uid="{DA6AFB50-1A88-43A2-B5EC-03A4D9D18471}"/>
    <hyperlink ref="AA76" r:id="rId18" display="https://fm.dk/nyheder/nyhedsarkiv/2020/marts/regeringen-og-alle-folketingets-partier-er-enige-om-omfattende-hjaelpepakke-til-dansk-oekonomi/" xr:uid="{86B04CEF-B64E-49E3-8230-2E6CF34629F5}"/>
    <hyperlink ref="AA54" r:id="rId19" display="http://www5.diputados.gob.mx/index.php/esl/Comunicacion/Boletines/2020/Marzo/18/3509-Aprueban-crear-el-Fondo-para-la-Prevencion-y-Atencion-de-Emergencias_x000a__x000a_" xr:uid="{ADE9B4ED-A5B5-4EAE-9782-BA34EBAAA074}"/>
    <hyperlink ref="AA146" r:id="rId20" display="https://gulfnews.com/uae/revealed-15-point-economic-stimulus-package-in-abu-dhabi-1.1584340605165" xr:uid="{BEFAA204-9FE4-43D9-A91F-C8DF18E7EA82}"/>
    <hyperlink ref="AA133" r:id="rId21" display="https://urldefense.proofpoint.com/v2/url?u=https-3A__www.gov.pl_web_tarczaantykryzysowa&amp;d=DwMFBA&amp;c=G8CoXqdZ57E1EOn2t2CVrg&amp;r=1dNmfCwUPm-Zyfp8PIjgpWCvO5QO5p2LM0QGFAzgPvI&amp;m=nz2rsJenFWhU9KRBhOJ8maK12Et9Tar9PrzSGpsIzBw&amp;s=CAY3fc6DLo3KDD4wEX63BZhcse8VIq2LHFGPVw4INzI&amp;e=" xr:uid="{FED06767-2588-473B-AA56-C672900DC188}"/>
    <hyperlink ref="AA49" r:id="rId22" display="https://pib.gov.in/PressReleseDetail.aspx?PRID=1607911" xr:uid="{4B07E04B-7BC3-45BF-97AD-25995407F94B}"/>
    <hyperlink ref="AA28" r:id="rId23" display="https://english.moef.go.kr/pc/selectTbPressCenterDtl.do?boardCd=N0001&amp;seq=4860" xr:uid="{AB67FC37-D697-4605-833E-68AB92462562}"/>
    <hyperlink ref="AA34" r:id="rId24" display="https://www.gov.uk/government/publications/guidance-to-employers-and-businesses-about-covid-19/covid-19-support-for-businesses" xr:uid="{36AC1E97-096D-47DF-8F9E-817EF16669D9}"/>
    <hyperlink ref="AA79" r:id="rId25" display="https://valtioneuvosto.fi/artikkeli/-/asset_publisher/10616/hallitus-antoi-eduskunnalle-lisatalousarvioesityksen-koronaviruksen-vuoksi" xr:uid="{BC6F274B-B4AA-4322-BEC3-4073A007DD7B}"/>
    <hyperlink ref="AA82" r:id="rId26" display="https://www.rijksoverheid.nl/actueel/nieuws/2020/03/17/coronavirus-kabinet-neemt-pakket-nieuwe-maatregelen-voor-banen-en-economie" xr:uid="{284CC32E-791F-4F6E-84F5-24389EEF9911}"/>
    <hyperlink ref="AA88" r:id="rId27" display="https://www.regjeringen.no/en/aktuelt/economic-measures-in-norway-in-response-to-covid-19/id2694274/" xr:uid="{AC48583A-8E4D-4865-9AB2-FBC31E1FAD03}"/>
    <hyperlink ref="AA31" r:id="rId28" display="https://www.lamoncloa.gob.es/consejodeministros/resumenes/Paginas/2020/170320-pg-consejo.aspx" xr:uid="{6FB23054-F198-4D92-968F-5B998F55B6A0}"/>
    <hyperlink ref="AA109" r:id="rId29" display="https://prensa.presidencia.cl/comunicado.aspx?id=148684" xr:uid="{EB9C33BD-0EF2-4A09-9F99-0D61D1245374}"/>
    <hyperlink ref="AA147" r:id="rId30" display="https://gulfnews.com/uae/revealed-15-point-economic-stimulus-package-in-abu-dhabi-1.1584340605165" xr:uid="{7B4D9C14-007B-449C-B292-045EB19D0293}"/>
    <hyperlink ref="AB7" r:id="rId31" display="https://treasury.gov.au/coronavirus" xr:uid="{D8776428-4586-4B8A-9BE1-FF79F2CC5B0B}"/>
    <hyperlink ref="AA7" r:id="rId32" display="https://treasury.gov.au/coronavirus" xr:uid="{A7AF8785-649E-4CE1-9996-33BBA666E4F9}"/>
    <hyperlink ref="AA23" r:id="rId33" display="https://www.economie.gouv.fr/coronavirus-soutien-entreprises#" xr:uid="{92BD4F89-B302-4DB7-B3B6-508937AAD314}"/>
    <hyperlink ref="AA134" r:id="rId34" display="https://urldefense.proofpoint.com/v2/url?u=https-3A__www.gov.pl_web_tarczaantykryzysowa&amp;d=DwMFBA&amp;c=G8CoXqdZ57E1EOn2t2CVrg&amp;r=1dNmfCwUPm-Zyfp8PIjgpWCvO5QO5p2LM0QGFAzgPvI&amp;m=nz2rsJenFWhU9KRBhOJ8maK12Et9Tar9PrzSGpsIzBw&amp;s=CAY3fc6DLo3KDD4wEX63BZhcse8VIq2LHFGPVw4INzI&amp;e=" xr:uid="{3984FD85-7A41-4F05-B6B9-4AC7914B634C}"/>
    <hyperlink ref="AA55" r:id="rId35" display="http://www5.diputados.gob.mx/index.php/esl/Comunicacion/Boletines/2020/Marzo/18/3509-Aprueban-crear-el-Fondo-para-la-Prevencion-y-Atencion-de-Emergencias_x000a__x000a_" xr:uid="{A9C97B72-069E-4232-9EA7-2F2638E14A11}"/>
    <hyperlink ref="AA56" r:id="rId36" display="https://pib.gov.in/PressReleseDetail.aspx?PRID=1607911" xr:uid="{7D8F5458-00E7-4E5A-A820-4666432551CC}"/>
    <hyperlink ref="AA68" r:id="rId37" display="https://www.mof.gov.sa/en/MediaCenter/news/Pages/News_20032020.aspx" xr:uid="{D76D8C53-DDB5-4088-A102-CDB8170A6F81}"/>
    <hyperlink ref="AA29" r:id="rId38" display="http://www.mef.gov.it/en/inevidenza/Protect-health-support-the-economy-preserve-employment-levels-and-incomes-00001/" xr:uid="{94E12F9A-0806-4964-9770-79B7C98A0360}"/>
    <hyperlink ref="AA26" r:id="rId39" display="https://www.bundesregierung.de/breg-de/themen/coronavirus" xr:uid="{5E53598C-235F-465C-9890-93D12D3AD6F1}"/>
    <hyperlink ref="AA35" r:id="rId40" display="https://english.moef.go.kr/pc/selectTbPressCenterDtl.do?boardCd=N0001&amp;seq=4860" xr:uid="{EF9CBCA2-BF76-403A-8E92-35AE55D27C0B}"/>
    <hyperlink ref="AA86" r:id="rId41" display="https://valtioneuvosto.fi/artikkeli/-/asset_publisher/10616/hallitus-antoi-eduskunnalle-lisatalousarvioesityksen-koronaviruksen-vuoksi" xr:uid="{B0FFEC84-7EE7-427F-B8AC-2A80A5F43163}"/>
    <hyperlink ref="AA89" r:id="rId42" display="https://www.rijksoverheid.nl/actueel/nieuws/2020/03/17/coronavirus-kabinet-neemt-pakket-nieuwe-maatregelen-voor-banen-en-economie" xr:uid="{F991ADCA-8D2E-4612-AB78-09C5D9AABF0C}"/>
    <hyperlink ref="AA98" r:id="rId43" display="https://www.regjeringen.no/en/aktuelt/economic-measures-in-norway-in-response-to-covid-19/id2694274/" xr:uid="{2174D495-E748-4AF3-9B2F-BCFF4A6CA431}"/>
    <hyperlink ref="AA116" r:id="rId44" display="https://prensa.presidencia.cl/comunicado.aspx?id=148684" xr:uid="{6C5343FD-D662-41F6-ADB2-7A03CAB46796}"/>
    <hyperlink ref="AA154" r:id="rId45" display="https://gulfnews.com/uae/revealed-15-point-economic-stimulus-package-in-abu-dhabi-1.1584340605165" xr:uid="{380B40B7-4488-4E09-9668-D6BDC176ED64}"/>
    <hyperlink ref="AA85" r:id="rId46" display="https://fm.dk/nyheder/nyhedsarkiv/2020/april/regeringen-og-alle-folketingets-partier-er-enige-om-at-justere-og-udvide-hjaelpepakker-til-dansk-oekonomi/" xr:uid="{EDEB0AA4-1B06-4B99-B63B-735A1E070465}"/>
    <hyperlink ref="AA83" r:id="rId47" display="https://fm.dk/nyheder/nyhedsarkiv/2020/marts/regeringen-og-alle-folketingets-partier-er-enige-om-omfattende-hjaelpepakke-til-dansk-oekonomi/" xr:uid="{DF061F5E-6C85-45D2-98B2-C4881E1C5BD5}"/>
    <hyperlink ref="AA84" r:id="rId48" display="https://fm.dk/nyheder/nyhedsarkiv/2020/marts/regeringen-og-arbejdsmarkedets-parter-styrker-trepartsaftalen-om-midlertidig-loenkompensation/" xr:uid="{68C4AAA4-862A-49C5-B285-F6B433D6BB9D}"/>
    <hyperlink ref="AA41" r:id="rId49" display="https://www.gov.uk/government/publications/guidance-to-employers-and-businesses-about-covid-19/covid-19-support-for-businesses" xr:uid="{6E74E5E6-82C6-44D4-9F79-A35E85359E92}"/>
    <hyperlink ref="AA60" r:id="rId50" xr:uid="{8F4B2BB1-C7FC-4351-90EA-8930755E7D4F}"/>
    <hyperlink ref="AA61" r:id="rId51" display="https://www.mof.gov.sa/en/MediaCenter/news/Pages/News_20032020.aspx" xr:uid="{6D54184B-5457-4124-A4B3-D5E05C7BB1E4}"/>
    <hyperlink ref="AA62" r:id="rId52" display="http://www5.diputados.gob.mx/index.php/esl/Comunicacion/Boletines/2020/Marzo/18/3509-Aprueban-crear-el-Fondo-para-la-Prevencion-y-Atencion-de-Emergencias_x000a__x000a_" xr:uid="{6E3AD180-52DA-4924-8123-EB1EFE163EC0}"/>
    <hyperlink ref="AA9" r:id="rId53" xr:uid="{BE61223D-E95B-4E46-AF7D-46E55E8D6DCA}"/>
    <hyperlink ref="AA15" r:id="rId54" xr:uid="{A010FFB2-5322-4722-A32E-CAD87F1BDB5C}"/>
    <hyperlink ref="AA18" r:id="rId55" xr:uid="{DBC1CF37-9CAB-47B1-B384-6AA3D23A04AB}"/>
    <hyperlink ref="AA10" r:id="rId56" display="https://www.canada.ca/en/public-health/services/diseases/coronavirus-disease-covid-19.html" xr:uid="{3A7C1C7B-A13F-4D99-BC45-4C452F34C2E9}"/>
    <hyperlink ref="AA16" r:id="rId57" display="https://www.economie.gouv.fr/coronavirus-soutien-entreprises#" xr:uid="{A9007C95-752B-4809-878E-BA0C2662D479}"/>
    <hyperlink ref="AA19" r:id="rId58" display="https://www.bundesregierung.de/breg-de/themen/coronavirus" xr:uid="{6CAAA109-2D9A-4CBA-B74F-973326F15F74}"/>
    <hyperlink ref="AA17" r:id="rId59" display="https://www.canada.ca/en/public-health/services/diseases/coronavirus-disease-covid-19.html" xr:uid="{617917B7-F939-4C2E-99A0-6776A3CFC5ED}"/>
    <hyperlink ref="AB14" r:id="rId60" display="https://treasury.gov.au/coronavirus" xr:uid="{BFE59219-8E96-4420-8E9D-E52765053C25}"/>
    <hyperlink ref="AA14" r:id="rId61" display="https://treasury.gov.au/coronavirus" xr:uid="{B9F78236-9AF4-4398-A980-4CB6C2BA88FB}"/>
    <hyperlink ref="AA38" r:id="rId62" display="https://www.lamoncloa.gob.es/consejodeministros/resumenes/Paginas/2020/170320-pg-consejo.aspx" xr:uid="{7EDFC434-26CF-4E6D-8653-7BB2BBF8BBA7}"/>
  </hyperlinks>
  <pageMargins left="0.7" right="0.7" top="0.75" bottom="0.75" header="0.3" footer="0.3"/>
  <pageSetup scale="30" fitToHeight="0" orientation="landscape" r:id="rId63"/>
  <rowBreaks count="15" manualBreakCount="15">
    <brk id="14" min="2" max="23" man="1"/>
    <brk id="29" min="2" max="23" man="1"/>
    <brk id="35" min="2" max="23" man="1"/>
    <brk id="41" min="2" max="23" man="1"/>
    <brk id="53" min="2" max="23" man="1"/>
    <brk id="65" min="2" max="23" man="1"/>
    <brk id="74" min="2" max="23" man="1"/>
    <brk id="86" min="2" max="23" man="1"/>
    <brk id="92" min="2" max="23" man="1"/>
    <brk id="110" min="2" max="23" man="1"/>
    <brk id="125" min="2" max="23" man="1"/>
    <brk id="140" min="2" max="23" man="1"/>
    <brk id="149" min="2" max="23" man="1"/>
    <brk id="161" min="2" max="23" man="1"/>
    <brk id="182" min="2" max="23" man="1"/>
  </rowBreaks>
  <colBreaks count="1" manualBreakCount="1">
    <brk id="25" max="1048575" man="1"/>
  </colBreaks>
  <legacyDrawing r:id="rId6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0634-FE75-4066-BF69-AA0E0ACD8623}">
  <dimension ref="B1:B70"/>
  <sheetViews>
    <sheetView workbookViewId="0">
      <selection activeCell="F25" sqref="F25"/>
    </sheetView>
  </sheetViews>
  <sheetFormatPr defaultRowHeight="12.5"/>
  <sheetData>
    <row r="1" spans="2:2">
      <c r="B1" t="s">
        <v>534</v>
      </c>
    </row>
    <row r="2" spans="2:2">
      <c r="B2" s="401" t="s">
        <v>523</v>
      </c>
    </row>
    <row r="3" spans="2:2">
      <c r="B3" s="401"/>
    </row>
    <row r="4" spans="2:2">
      <c r="B4" s="401" t="s">
        <v>524</v>
      </c>
    </row>
    <row r="5" spans="2:2">
      <c r="B5" s="415"/>
    </row>
    <row r="6" spans="2:2">
      <c r="B6" s="402" t="s">
        <v>525</v>
      </c>
    </row>
    <row r="7" spans="2:2">
      <c r="B7" s="402" t="s">
        <v>526</v>
      </c>
    </row>
    <row r="8" spans="2:2">
      <c r="B8" s="402" t="s">
        <v>527</v>
      </c>
    </row>
    <row r="9" spans="2:2">
      <c r="B9" s="402" t="s">
        <v>528</v>
      </c>
    </row>
    <row r="10" spans="2:2">
      <c r="B10" s="402" t="s">
        <v>529</v>
      </c>
    </row>
    <row r="11" spans="2:2">
      <c r="B11" s="402" t="s">
        <v>530</v>
      </c>
    </row>
    <row r="12" spans="2:2">
      <c r="B12" s="402" t="s">
        <v>531</v>
      </c>
    </row>
    <row r="13" spans="2:2">
      <c r="B13" s="402" t="s">
        <v>532</v>
      </c>
    </row>
    <row r="14" spans="2:2">
      <c r="B14" s="401"/>
    </row>
    <row r="15" spans="2:2">
      <c r="B15" s="401" t="s">
        <v>533</v>
      </c>
    </row>
    <row r="16" spans="2:2">
      <c r="B16" s="401"/>
    </row>
    <row r="20" spans="2:2">
      <c r="B20" s="401" t="s">
        <v>478</v>
      </c>
    </row>
    <row r="21" spans="2:2">
      <c r="B21" s="402" t="s">
        <v>479</v>
      </c>
    </row>
    <row r="22" spans="2:2">
      <c r="B22" s="402" t="s">
        <v>480</v>
      </c>
    </row>
    <row r="23" spans="2:2">
      <c r="B23" s="402" t="s">
        <v>481</v>
      </c>
    </row>
    <row r="24" spans="2:2">
      <c r="B24" s="402" t="s">
        <v>482</v>
      </c>
    </row>
    <row r="25" spans="2:2">
      <c r="B25" s="401"/>
    </row>
    <row r="26" spans="2:2">
      <c r="B26" s="401"/>
    </row>
    <row r="27" spans="2:2">
      <c r="B27" s="401" t="s">
        <v>483</v>
      </c>
    </row>
    <row r="28" spans="2:2">
      <c r="B28" s="401" t="s">
        <v>484</v>
      </c>
    </row>
    <row r="29" spans="2:2">
      <c r="B29" s="401" t="s">
        <v>485</v>
      </c>
    </row>
    <row r="30" spans="2:2">
      <c r="B30" s="401" t="s">
        <v>486</v>
      </c>
    </row>
    <row r="31" spans="2:2">
      <c r="B31" s="401" t="s">
        <v>487</v>
      </c>
    </row>
    <row r="32" spans="2:2">
      <c r="B32" s="401" t="s">
        <v>488</v>
      </c>
    </row>
    <row r="33" spans="2:2">
      <c r="B33" s="401"/>
    </row>
    <row r="34" spans="2:2">
      <c r="B34" s="401"/>
    </row>
    <row r="35" spans="2:2">
      <c r="B35" s="401"/>
    </row>
    <row r="36" spans="2:2">
      <c r="B36" s="401"/>
    </row>
    <row r="37" spans="2:2">
      <c r="B37" s="403" t="s">
        <v>489</v>
      </c>
    </row>
    <row r="38" spans="2:2">
      <c r="B38" s="403" t="s">
        <v>490</v>
      </c>
    </row>
    <row r="39" spans="2:2">
      <c r="B39" s="403" t="s">
        <v>491</v>
      </c>
    </row>
    <row r="40" spans="2:2">
      <c r="B40" s="403" t="s">
        <v>498</v>
      </c>
    </row>
    <row r="41" spans="2:2">
      <c r="B41" s="403" t="s">
        <v>492</v>
      </c>
    </row>
    <row r="42" spans="2:2">
      <c r="B42" s="403" t="s">
        <v>493</v>
      </c>
    </row>
    <row r="43" spans="2:2">
      <c r="B43" s="403" t="s">
        <v>494</v>
      </c>
    </row>
    <row r="44" spans="2:2">
      <c r="B44" s="403" t="s">
        <v>495</v>
      </c>
    </row>
    <row r="45" spans="2:2">
      <c r="B45" s="403" t="s">
        <v>496</v>
      </c>
    </row>
    <row r="46" spans="2:2">
      <c r="B46" s="403" t="s">
        <v>497</v>
      </c>
    </row>
    <row r="47" spans="2:2">
      <c r="B47" s="403">
        <v>241</v>
      </c>
    </row>
    <row r="48" spans="2:2">
      <c r="B48" s="403"/>
    </row>
    <row r="49" spans="2:2">
      <c r="B49" s="401"/>
    </row>
    <row r="50" spans="2:2">
      <c r="B50" s="401"/>
    </row>
    <row r="51" spans="2:2">
      <c r="B51" s="401"/>
    </row>
    <row r="52" spans="2:2">
      <c r="B52" s="401" t="s">
        <v>499</v>
      </c>
    </row>
    <row r="53" spans="2:2">
      <c r="B53" s="402" t="s">
        <v>479</v>
      </c>
    </row>
    <row r="54" spans="2:2">
      <c r="B54" s="402" t="s">
        <v>480</v>
      </c>
    </row>
    <row r="55" spans="2:2">
      <c r="B55" s="402" t="s">
        <v>500</v>
      </c>
    </row>
    <row r="56" spans="2:2">
      <c r="B56" s="402" t="s">
        <v>501</v>
      </c>
    </row>
    <row r="57" spans="2:2">
      <c r="B57" s="402" t="s">
        <v>502</v>
      </c>
    </row>
    <row r="58" spans="2:2">
      <c r="B58" s="401"/>
    </row>
    <row r="59" spans="2:2">
      <c r="B59" s="401"/>
    </row>
    <row r="60" spans="2:2">
      <c r="B60" s="401" t="s">
        <v>503</v>
      </c>
    </row>
    <row r="61" spans="2:2">
      <c r="B61" s="401" t="s">
        <v>504</v>
      </c>
    </row>
    <row r="62" spans="2:2">
      <c r="B62" s="401"/>
    </row>
    <row r="63" spans="2:2">
      <c r="B63" s="401" t="s">
        <v>505</v>
      </c>
    </row>
    <row r="64" spans="2:2">
      <c r="B64" s="401"/>
    </row>
    <row r="65" spans="2:2">
      <c r="B65" s="401" t="s">
        <v>506</v>
      </c>
    </row>
    <row r="66" spans="2:2">
      <c r="B66" s="401" t="s">
        <v>493</v>
      </c>
    </row>
    <row r="67" spans="2:2">
      <c r="B67" s="401" t="s">
        <v>494</v>
      </c>
    </row>
    <row r="68" spans="2:2">
      <c r="B68" s="401" t="s">
        <v>495</v>
      </c>
    </row>
    <row r="69" spans="2:2">
      <c r="B69" s="401" t="s">
        <v>496</v>
      </c>
    </row>
    <row r="70" spans="2:2">
      <c r="B70" s="401"/>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2BBA-F4D4-4B73-9E88-8B955A466505}">
  <dimension ref="A1:AL44"/>
  <sheetViews>
    <sheetView topLeftCell="B16" workbookViewId="0">
      <selection activeCell="F8" sqref="F8"/>
    </sheetView>
  </sheetViews>
  <sheetFormatPr defaultRowHeight="12.5" outlineLevelCol="1"/>
  <cols>
    <col min="1" max="1" width="15.81640625" customWidth="1"/>
    <col min="2" max="2" width="17.1796875" customWidth="1"/>
    <col min="3" max="8" width="10.453125" style="389" customWidth="1"/>
    <col min="9" max="9" width="15.81640625" customWidth="1"/>
    <col min="10" max="10" width="10.54296875" bestFit="1" customWidth="1"/>
    <col min="11" max="11" width="12.453125" bestFit="1" customWidth="1"/>
    <col min="12" max="12" width="9.81640625" customWidth="1"/>
    <col min="26" max="29" width="0" hidden="1" customWidth="1" outlineLevel="1"/>
    <col min="30" max="30" width="11.54296875" hidden="1" customWidth="1" outlineLevel="1"/>
    <col min="31" max="31" width="0" hidden="1" customWidth="1" outlineLevel="1"/>
    <col min="32" max="32" width="10.81640625" hidden="1" customWidth="1" outlineLevel="1"/>
    <col min="33" max="37" width="0" hidden="1" customWidth="1" outlineLevel="1"/>
    <col min="38" max="38" width="8.54296875" collapsed="1"/>
  </cols>
  <sheetData>
    <row r="1" spans="1:38" ht="14.5">
      <c r="A1" s="364" t="s">
        <v>437</v>
      </c>
      <c r="C1" s="396" t="s">
        <v>470</v>
      </c>
      <c r="I1" s="365" t="s">
        <v>438</v>
      </c>
      <c r="J1" s="365" t="s">
        <v>439</v>
      </c>
      <c r="K1" t="s">
        <v>440</v>
      </c>
      <c r="L1" s="366" t="s">
        <v>441</v>
      </c>
      <c r="O1" s="365" t="s">
        <v>438</v>
      </c>
      <c r="P1" s="365" t="s">
        <v>439</v>
      </c>
      <c r="Q1" t="s">
        <v>440</v>
      </c>
      <c r="R1" s="366" t="s">
        <v>441</v>
      </c>
      <c r="AA1" s="365" t="s">
        <v>438</v>
      </c>
      <c r="AB1" s="365" t="s">
        <v>439</v>
      </c>
      <c r="AC1" t="s">
        <v>440</v>
      </c>
      <c r="AD1" s="366" t="s">
        <v>441</v>
      </c>
    </row>
    <row r="2" spans="1:38" ht="65">
      <c r="A2" t="s">
        <v>442</v>
      </c>
      <c r="B2" s="367" t="s">
        <v>443</v>
      </c>
      <c r="C2" s="368" t="s">
        <v>444</v>
      </c>
      <c r="D2" s="368" t="s">
        <v>445</v>
      </c>
      <c r="E2" s="368" t="s">
        <v>446</v>
      </c>
      <c r="F2" s="368" t="s">
        <v>447</v>
      </c>
      <c r="G2" s="399"/>
      <c r="H2" s="390"/>
      <c r="I2" s="368" t="s">
        <v>444</v>
      </c>
      <c r="J2" s="368" t="s">
        <v>445</v>
      </c>
      <c r="K2" s="368" t="s">
        <v>446</v>
      </c>
      <c r="L2" s="368" t="s">
        <v>447</v>
      </c>
      <c r="N2" s="369" t="s">
        <v>448</v>
      </c>
      <c r="O2" s="370" t="s">
        <v>444</v>
      </c>
      <c r="P2" s="370" t="s">
        <v>445</v>
      </c>
      <c r="Q2" s="370" t="s">
        <v>446</v>
      </c>
      <c r="R2" s="370" t="s">
        <v>447</v>
      </c>
      <c r="T2" s="371" t="s">
        <v>449</v>
      </c>
      <c r="U2" s="372" t="s">
        <v>444</v>
      </c>
      <c r="V2" s="372" t="s">
        <v>445</v>
      </c>
      <c r="W2" s="372" t="s">
        <v>446</v>
      </c>
      <c r="X2" s="372" t="s">
        <v>447</v>
      </c>
      <c r="Z2" s="373" t="s">
        <v>450</v>
      </c>
      <c r="AA2" s="368" t="s">
        <v>444</v>
      </c>
      <c r="AB2" s="368" t="s">
        <v>445</v>
      </c>
      <c r="AC2" s="368" t="s">
        <v>446</v>
      </c>
      <c r="AD2" s="368" t="s">
        <v>447</v>
      </c>
      <c r="AF2" s="373" t="s">
        <v>451</v>
      </c>
      <c r="AG2" s="368" t="s">
        <v>444</v>
      </c>
      <c r="AH2" s="368" t="s">
        <v>445</v>
      </c>
      <c r="AI2" s="368" t="s">
        <v>446</v>
      </c>
      <c r="AJ2" s="368" t="s">
        <v>447</v>
      </c>
    </row>
    <row r="3" spans="1:38" ht="14.5">
      <c r="A3" t="s">
        <v>1</v>
      </c>
      <c r="B3" s="374" t="s">
        <v>1</v>
      </c>
      <c r="C3" s="397" t="e">
        <f>Database!#REF!</f>
        <v>#REF!</v>
      </c>
      <c r="D3" s="397" t="e">
        <f>Database!#REF!</f>
        <v>#REF!</v>
      </c>
      <c r="E3" s="398" t="e">
        <f>Database!#REF!</f>
        <v>#REF!</v>
      </c>
      <c r="F3" s="397" t="e">
        <f>Database!#REF!</f>
        <v>#REF!</v>
      </c>
      <c r="G3" s="391"/>
      <c r="H3" s="391"/>
      <c r="I3" s="375">
        <v>80.567275691701113</v>
      </c>
      <c r="J3" s="376">
        <v>2.3646970216884768</v>
      </c>
      <c r="K3" s="375">
        <v>3.7239323176196497</v>
      </c>
      <c r="L3" s="377">
        <v>48.411120129055433</v>
      </c>
      <c r="N3" t="s">
        <v>1</v>
      </c>
      <c r="O3" s="376">
        <v>152.70972795138908</v>
      </c>
      <c r="P3" s="376">
        <v>3.1165250602324308</v>
      </c>
      <c r="Q3" s="376">
        <v>52.13505244667509</v>
      </c>
      <c r="R3" s="376" t="s">
        <v>452</v>
      </c>
      <c r="T3" t="s">
        <v>1</v>
      </c>
      <c r="U3" s="376">
        <f>IFERROR(I3-O3,"")</f>
        <v>-72.142452259687971</v>
      </c>
      <c r="V3" s="376">
        <f t="shared" ref="V3:X9" si="0">IFERROR(J3-P3,"")</f>
        <v>-0.75182803854395397</v>
      </c>
      <c r="W3" s="376">
        <f t="shared" si="0"/>
        <v>-48.41112012905544</v>
      </c>
      <c r="X3" s="376" t="str">
        <f t="shared" si="0"/>
        <v/>
      </c>
      <c r="Z3" s="374" t="s">
        <v>1</v>
      </c>
      <c r="AA3" s="375">
        <v>130.89405252976209</v>
      </c>
      <c r="AB3" s="376">
        <v>1.5582625301162154</v>
      </c>
      <c r="AC3" s="375">
        <v>52.13505244667509</v>
      </c>
      <c r="AD3" s="376" t="s">
        <v>452</v>
      </c>
      <c r="AF3" s="366" t="s">
        <v>1</v>
      </c>
      <c r="AG3" s="376">
        <f t="shared" ref="AG3:AJ9" si="1">IFERROR(I3-AA3, "")</f>
        <v>-50.326776838060979</v>
      </c>
      <c r="AH3" s="376">
        <f t="shared" si="1"/>
        <v>0.80643449157226144</v>
      </c>
      <c r="AI3" s="376">
        <f t="shared" si="1"/>
        <v>-48.41112012905544</v>
      </c>
      <c r="AJ3" s="376" t="str">
        <f t="shared" si="1"/>
        <v/>
      </c>
      <c r="AL3" s="376"/>
    </row>
    <row r="4" spans="1:38" ht="14.5">
      <c r="A4" t="s">
        <v>2</v>
      </c>
      <c r="B4" s="374" t="s">
        <v>2</v>
      </c>
      <c r="C4" s="397" t="e">
        <f>Database!#REF!</f>
        <v>#REF!</v>
      </c>
      <c r="D4" s="397" t="e">
        <f>Database!#REF!</f>
        <v>#REF!</v>
      </c>
      <c r="E4" s="391"/>
      <c r="F4" s="397" t="e">
        <f>Database!#REF!</f>
        <v>#REF!</v>
      </c>
      <c r="G4" s="391"/>
      <c r="H4" s="391"/>
      <c r="I4" s="376">
        <v>18.389800814051259</v>
      </c>
      <c r="J4" s="376">
        <v>6.129933604683754</v>
      </c>
      <c r="K4" s="376" t="s">
        <v>452</v>
      </c>
      <c r="L4" s="376">
        <v>347.73441539296925</v>
      </c>
      <c r="N4" t="s">
        <v>2</v>
      </c>
      <c r="O4" s="376">
        <v>47.609811973535656</v>
      </c>
      <c r="P4" s="376">
        <v>10.023118310218033</v>
      </c>
      <c r="Q4" s="376">
        <v>23.40520103606524</v>
      </c>
      <c r="R4" s="376">
        <v>351.07801554097858</v>
      </c>
      <c r="T4" t="s">
        <v>2</v>
      </c>
      <c r="U4" s="376">
        <f t="shared" ref="U4:U9" si="2">IFERROR(I4-O4,"")</f>
        <v>-29.220011159484397</v>
      </c>
      <c r="V4" s="376">
        <f t="shared" si="0"/>
        <v>-3.8931847055342788</v>
      </c>
      <c r="W4" s="376" t="str">
        <f t="shared" si="0"/>
        <v/>
      </c>
      <c r="X4" s="376">
        <f t="shared" si="0"/>
        <v>-3.3436001480093296</v>
      </c>
      <c r="Z4" s="366" t="s">
        <v>2</v>
      </c>
      <c r="AA4" s="376">
        <v>12.528897887772542</v>
      </c>
      <c r="AB4" s="376">
        <v>2.5057795775545082</v>
      </c>
      <c r="AC4" s="376" t="s">
        <v>452</v>
      </c>
      <c r="AD4" s="376">
        <v>334.36001480093199</v>
      </c>
      <c r="AF4" s="366" t="s">
        <v>2</v>
      </c>
      <c r="AG4" s="376">
        <f t="shared" si="1"/>
        <v>5.8609029262787171</v>
      </c>
      <c r="AH4" s="376">
        <f t="shared" si="1"/>
        <v>3.6241540271292458</v>
      </c>
      <c r="AI4" s="376" t="str">
        <f t="shared" si="1"/>
        <v/>
      </c>
      <c r="AJ4" s="376">
        <f t="shared" si="1"/>
        <v>13.374400592037262</v>
      </c>
    </row>
    <row r="5" spans="1:38" ht="14.5">
      <c r="A5" t="s">
        <v>3</v>
      </c>
      <c r="B5" s="374" t="s">
        <v>3</v>
      </c>
      <c r="C5" s="397" t="e">
        <f>Database!#REF!</f>
        <v>#REF!</v>
      </c>
      <c r="D5" s="397" t="e">
        <f>Database!#REF!</f>
        <v>#REF!</v>
      </c>
      <c r="E5" s="397" t="e">
        <f>Database!#REF!</f>
        <v>#REF!</v>
      </c>
      <c r="F5" s="397" t="e">
        <f>Database!#REF!</f>
        <v>#REF!</v>
      </c>
      <c r="G5" s="391"/>
      <c r="H5" s="391"/>
      <c r="I5" s="376">
        <v>159.37827372177705</v>
      </c>
      <c r="J5" s="376">
        <v>12.48277388590142</v>
      </c>
      <c r="K5" s="375">
        <v>222.90667653395394</v>
      </c>
      <c r="L5" s="375">
        <v>849.27443759436437</v>
      </c>
      <c r="N5" t="s">
        <v>3</v>
      </c>
      <c r="O5" s="376">
        <v>159.46314843509251</v>
      </c>
      <c r="P5" s="376">
        <v>21.744974786603521</v>
      </c>
      <c r="Q5" s="376">
        <v>891.62670613581565</v>
      </c>
      <c r="R5" s="376">
        <v>925.06270761590872</v>
      </c>
      <c r="T5" t="s">
        <v>3</v>
      </c>
      <c r="U5" s="376">
        <f t="shared" si="2"/>
        <v>-8.4874713315457484E-2</v>
      </c>
      <c r="V5" s="376">
        <f t="shared" si="0"/>
        <v>-9.2622009007021013</v>
      </c>
      <c r="W5" s="376">
        <f t="shared" si="0"/>
        <v>-668.72002960186171</v>
      </c>
      <c r="X5" s="376">
        <f t="shared" si="0"/>
        <v>-75.788270021544349</v>
      </c>
      <c r="Z5" s="366" t="s">
        <v>3</v>
      </c>
      <c r="AA5" s="376">
        <v>159.46314843509251</v>
      </c>
      <c r="AB5" s="376">
        <v>10.872487393301761</v>
      </c>
      <c r="AC5" s="376">
        <v>668.72002960186171</v>
      </c>
      <c r="AD5" s="376">
        <v>949.58244203464369</v>
      </c>
      <c r="AF5" s="366" t="s">
        <v>3</v>
      </c>
      <c r="AG5" s="376">
        <f t="shared" si="1"/>
        <v>-8.4874713315457484E-2</v>
      </c>
      <c r="AH5" s="376">
        <f t="shared" si="1"/>
        <v>1.6102864925996592</v>
      </c>
      <c r="AI5" s="376">
        <f t="shared" si="1"/>
        <v>-445.81335306790777</v>
      </c>
      <c r="AJ5" s="376">
        <f t="shared" si="1"/>
        <v>-100.30800444027932</v>
      </c>
    </row>
    <row r="6" spans="1:38" ht="14.5">
      <c r="A6" t="s">
        <v>4</v>
      </c>
      <c r="B6" s="374" t="s">
        <v>4</v>
      </c>
      <c r="C6" s="397">
        <f>Database!G22</f>
        <v>205.43073468379424</v>
      </c>
      <c r="D6" s="397">
        <f>Database!H22</f>
        <v>22.825637187088251</v>
      </c>
      <c r="E6" s="391"/>
      <c r="F6" s="397">
        <f>Database!U22</f>
        <v>660.80219656620488</v>
      </c>
      <c r="G6" s="391"/>
      <c r="H6" s="391"/>
      <c r="I6" s="376">
        <v>22.290667653395467</v>
      </c>
      <c r="J6" s="376">
        <v>3.5665068245432745</v>
      </c>
      <c r="K6" s="376" t="s">
        <v>452</v>
      </c>
      <c r="L6" s="375">
        <v>590.70269281497986</v>
      </c>
      <c r="N6" t="s">
        <v>4</v>
      </c>
      <c r="O6" s="376">
        <v>23.684835438427662</v>
      </c>
      <c r="P6" s="376">
        <v>5.465731255021768</v>
      </c>
      <c r="Q6" s="376" t="s">
        <v>452</v>
      </c>
      <c r="R6" s="376">
        <v>590.70269281497986</v>
      </c>
      <c r="T6" t="s">
        <v>4</v>
      </c>
      <c r="U6" s="376">
        <f t="shared" si="2"/>
        <v>-1.3941677850321952</v>
      </c>
      <c r="V6" s="376">
        <f t="shared" si="0"/>
        <v>-1.8992244304784935</v>
      </c>
      <c r="W6" s="376" t="str">
        <f t="shared" si="0"/>
        <v/>
      </c>
      <c r="X6" s="376">
        <f t="shared" si="0"/>
        <v>0</v>
      </c>
      <c r="Z6" s="366" t="s">
        <v>4</v>
      </c>
      <c r="AA6" s="376">
        <v>23.684835438427662</v>
      </c>
      <c r="AB6" s="376">
        <v>5.465731255021768</v>
      </c>
      <c r="AC6" s="376" t="s">
        <v>452</v>
      </c>
      <c r="AD6" s="376">
        <v>334.36001480093199</v>
      </c>
      <c r="AF6" s="366" t="s">
        <v>4</v>
      </c>
      <c r="AG6" s="376">
        <f t="shared" si="1"/>
        <v>-1.3941677850321952</v>
      </c>
      <c r="AH6" s="376">
        <f t="shared" si="1"/>
        <v>-1.8992244304784935</v>
      </c>
      <c r="AI6" s="376" t="str">
        <f t="shared" si="1"/>
        <v/>
      </c>
      <c r="AJ6" s="376">
        <f t="shared" si="1"/>
        <v>256.34267801404786</v>
      </c>
    </row>
    <row r="7" spans="1:38">
      <c r="A7" t="s">
        <v>5</v>
      </c>
      <c r="B7" s="174" t="s">
        <v>5</v>
      </c>
      <c r="C7" s="393">
        <f>Database!G25</f>
        <v>843.8337860086101</v>
      </c>
      <c r="D7" s="393">
        <f>Database!H25</f>
        <v>104.89387795001592</v>
      </c>
      <c r="E7" s="393">
        <f>Database!Q25</f>
        <v>0</v>
      </c>
      <c r="F7" s="393">
        <f>Database!U25</f>
        <v>147.0387396263616</v>
      </c>
      <c r="I7" s="375">
        <v>496.74594697181385</v>
      </c>
      <c r="J7" s="376">
        <v>12.184334548365243</v>
      </c>
      <c r="K7" s="376">
        <v>498.62045997925458</v>
      </c>
      <c r="L7" s="376">
        <v>18.745130074408067</v>
      </c>
      <c r="N7" t="s">
        <v>5</v>
      </c>
      <c r="O7" s="376">
        <v>594.37893877247166</v>
      </c>
      <c r="P7" s="376">
        <v>19.812631292415723</v>
      </c>
      <c r="Q7" s="376">
        <v>496.74594697181374</v>
      </c>
      <c r="R7" s="376">
        <v>9.4662906875760733</v>
      </c>
      <c r="T7" t="s">
        <v>5</v>
      </c>
      <c r="U7" s="376">
        <f t="shared" si="2"/>
        <v>-97.632991800657805</v>
      </c>
      <c r="V7" s="376">
        <f t="shared" si="0"/>
        <v>-7.6282967440504805</v>
      </c>
      <c r="W7" s="376">
        <f t="shared" si="0"/>
        <v>1.8745130074408394</v>
      </c>
      <c r="X7" s="376">
        <f t="shared" si="0"/>
        <v>9.2788393868319936</v>
      </c>
      <c r="Z7" t="s">
        <v>5</v>
      </c>
      <c r="AA7" s="376">
        <v>4.9531578231039308</v>
      </c>
      <c r="AB7" s="376">
        <v>0.49531578231039314</v>
      </c>
      <c r="AC7" s="376">
        <v>14.996104059526452</v>
      </c>
      <c r="AD7" s="376" t="s">
        <v>452</v>
      </c>
      <c r="AF7" t="s">
        <v>5</v>
      </c>
      <c r="AG7" s="376">
        <f t="shared" si="1"/>
        <v>491.79278914870991</v>
      </c>
      <c r="AH7" s="376">
        <f t="shared" si="1"/>
        <v>11.689018766054849</v>
      </c>
      <c r="AI7" s="376">
        <f t="shared" si="1"/>
        <v>483.62435591972815</v>
      </c>
      <c r="AJ7" s="376" t="str">
        <f t="shared" si="1"/>
        <v/>
      </c>
    </row>
    <row r="8" spans="1:38">
      <c r="A8" t="s">
        <v>7</v>
      </c>
      <c r="B8" s="174" t="s">
        <v>7</v>
      </c>
      <c r="C8" s="393">
        <f>Database!G34</f>
        <v>522.16796884260248</v>
      </c>
      <c r="D8" s="393">
        <f>Database!H34</f>
        <v>130.8627342062542</v>
      </c>
      <c r="E8" s="393">
        <f>Database!Q34</f>
        <v>1.3214570218866846</v>
      </c>
      <c r="F8" s="393">
        <f>Database!U34</f>
        <v>451.60472980981842</v>
      </c>
      <c r="I8" s="376">
        <v>83.294076116897486</v>
      </c>
      <c r="J8" s="376">
        <v>6.4072366243767291</v>
      </c>
      <c r="K8" s="375">
        <v>422.87761720886408</v>
      </c>
      <c r="L8" s="376" t="s">
        <v>452</v>
      </c>
      <c r="N8" t="s">
        <v>7</v>
      </c>
      <c r="O8" s="376">
        <v>107.87831570206316</v>
      </c>
      <c r="P8" s="376">
        <v>18.878705247861053</v>
      </c>
      <c r="Q8" s="376">
        <v>551.02875693302303</v>
      </c>
      <c r="R8" s="376" t="s">
        <v>452</v>
      </c>
      <c r="T8" t="s">
        <v>7</v>
      </c>
      <c r="U8" s="376">
        <f t="shared" si="2"/>
        <v>-24.584239585165676</v>
      </c>
      <c r="V8" s="376">
        <f t="shared" si="0"/>
        <v>-12.471468623484324</v>
      </c>
      <c r="W8" s="376">
        <f t="shared" si="0"/>
        <v>-128.15113972415895</v>
      </c>
      <c r="X8" s="376" t="str">
        <f t="shared" si="0"/>
        <v/>
      </c>
      <c r="Z8" t="s">
        <v>7</v>
      </c>
      <c r="AA8" s="376">
        <v>80.908736776547372</v>
      </c>
      <c r="AB8" s="376">
        <v>5.3939157851031583</v>
      </c>
      <c r="AC8" s="376">
        <v>551.02875693302303</v>
      </c>
      <c r="AD8" s="376" t="s">
        <v>452</v>
      </c>
      <c r="AF8" t="s">
        <v>7</v>
      </c>
      <c r="AG8" s="376">
        <f t="shared" si="1"/>
        <v>2.3853393403501144</v>
      </c>
      <c r="AH8" s="376">
        <f t="shared" si="1"/>
        <v>1.0133208392735709</v>
      </c>
      <c r="AI8" s="376">
        <f t="shared" si="1"/>
        <v>-128.15113972415895</v>
      </c>
      <c r="AJ8" s="376" t="str">
        <f t="shared" si="1"/>
        <v/>
      </c>
    </row>
    <row r="9" spans="1:38">
      <c r="A9" t="s">
        <v>8</v>
      </c>
      <c r="B9" s="174" t="s">
        <v>8</v>
      </c>
      <c r="C9" s="389" t="e">
        <f>Database!#REF!</f>
        <v>#REF!</v>
      </c>
      <c r="D9" s="389" t="e">
        <f>Database!#REF!</f>
        <v>#REF!</v>
      </c>
      <c r="E9" s="393" t="e">
        <f>Database!#REF!</f>
        <v>#REF!</v>
      </c>
      <c r="F9" s="393" t="e">
        <f>Database!#REF!</f>
        <v>#REF!</v>
      </c>
      <c r="H9" s="395"/>
      <c r="I9" s="375">
        <v>1395</v>
      </c>
      <c r="J9" s="376">
        <v>141</v>
      </c>
      <c r="K9" s="375">
        <v>405</v>
      </c>
      <c r="L9" s="377">
        <v>454</v>
      </c>
      <c r="N9" t="s">
        <v>8</v>
      </c>
      <c r="O9" s="376">
        <v>1602.9090088478063</v>
      </c>
      <c r="P9" s="376">
        <v>202.899874537697</v>
      </c>
      <c r="Q9" s="376">
        <v>859</v>
      </c>
      <c r="R9" s="376" t="s">
        <v>452</v>
      </c>
      <c r="T9" t="s">
        <v>8</v>
      </c>
      <c r="U9" s="376">
        <f t="shared" si="2"/>
        <v>-207.90900884780626</v>
      </c>
      <c r="V9" s="376">
        <f t="shared" si="0"/>
        <v>-61.899874537697002</v>
      </c>
      <c r="W9" s="376">
        <f t="shared" si="0"/>
        <v>-454</v>
      </c>
      <c r="X9" s="376" t="str">
        <f t="shared" si="0"/>
        <v/>
      </c>
      <c r="Z9" t="s">
        <v>8</v>
      </c>
      <c r="AA9" s="376">
        <v>1400.0091343101094</v>
      </c>
      <c r="AB9" s="376">
        <v>142.02991217638788</v>
      </c>
      <c r="AC9" s="376">
        <v>859</v>
      </c>
      <c r="AD9" s="376" t="s">
        <v>452</v>
      </c>
      <c r="AF9" t="s">
        <v>8</v>
      </c>
      <c r="AG9" s="376">
        <f t="shared" si="1"/>
        <v>-5.0091343101094026</v>
      </c>
      <c r="AH9" s="376">
        <f t="shared" si="1"/>
        <v>-1.0299121763878816</v>
      </c>
      <c r="AI9" s="376">
        <f t="shared" si="1"/>
        <v>-454</v>
      </c>
      <c r="AJ9" s="376" t="str">
        <f t="shared" si="1"/>
        <v/>
      </c>
    </row>
    <row r="10" spans="1:38">
      <c r="I10" s="376"/>
      <c r="J10" s="376"/>
      <c r="K10" s="376"/>
      <c r="L10" s="376"/>
      <c r="O10" s="376"/>
      <c r="P10" s="376"/>
      <c r="Q10" s="376"/>
      <c r="R10" s="376"/>
      <c r="U10" s="376"/>
      <c r="V10" s="376"/>
      <c r="W10" s="376"/>
      <c r="X10" s="376"/>
      <c r="AA10" s="376"/>
      <c r="AB10" s="376"/>
      <c r="AC10" s="376"/>
      <c r="AD10" s="376"/>
    </row>
    <row r="11" spans="1:38">
      <c r="A11" t="s">
        <v>0</v>
      </c>
      <c r="B11" s="378" t="s">
        <v>0</v>
      </c>
      <c r="C11" s="393">
        <f>Database!G7</f>
        <v>249.72579708899613</v>
      </c>
      <c r="D11" s="393">
        <f>Database!H7</f>
        <v>13.808448829914081</v>
      </c>
      <c r="E11" s="393">
        <f>Database!Q7</f>
        <v>10.356336622435562</v>
      </c>
      <c r="F11" s="393">
        <f>Database!U7</f>
        <v>13.808448829914079</v>
      </c>
      <c r="I11" s="376">
        <v>129.57265556430073</v>
      </c>
      <c r="J11" s="376">
        <v>2.3630271531483418</v>
      </c>
      <c r="K11" s="377">
        <v>9.8459464714514251</v>
      </c>
      <c r="L11" s="376">
        <v>13.1279286286019</v>
      </c>
      <c r="N11" t="s">
        <v>0</v>
      </c>
      <c r="O11" s="376">
        <v>131.84235543448426</v>
      </c>
      <c r="P11" s="376">
        <v>3.6622876509578957</v>
      </c>
      <c r="Q11" s="376" t="s">
        <v>452</v>
      </c>
      <c r="R11" s="376">
        <v>22.973875100053323</v>
      </c>
      <c r="T11" t="s">
        <v>0</v>
      </c>
      <c r="U11" s="376">
        <f t="shared" ref="U11:X26" si="3">IFERROR(I11-O11,"")</f>
        <v>-2.2696998701835298</v>
      </c>
      <c r="V11" s="376">
        <f t="shared" si="3"/>
        <v>-1.2992604978095539</v>
      </c>
      <c r="W11" s="376" t="str">
        <f t="shared" si="3"/>
        <v/>
      </c>
      <c r="X11" s="376">
        <f t="shared" si="3"/>
        <v>-9.8459464714514233</v>
      </c>
      <c r="Z11" t="s">
        <v>0</v>
      </c>
      <c r="AA11" s="376">
        <v>124.51778013256845</v>
      </c>
      <c r="AB11" s="376">
        <v>2.441525100638597</v>
      </c>
      <c r="AC11" s="376" t="s">
        <v>452</v>
      </c>
      <c r="AD11" s="376">
        <v>22.973875100053323</v>
      </c>
      <c r="AF11" t="s">
        <v>0</v>
      </c>
      <c r="AG11" s="376">
        <f t="shared" ref="AG11:AJ22" si="4">IFERROR(I11-AA11, "")</f>
        <v>5.0548754317322846</v>
      </c>
      <c r="AH11" s="376">
        <f t="shared" si="4"/>
        <v>-7.8497947490255182E-2</v>
      </c>
      <c r="AI11" s="376" t="str">
        <f t="shared" si="4"/>
        <v/>
      </c>
      <c r="AJ11" s="376">
        <f t="shared" si="4"/>
        <v>-9.8459464714514233</v>
      </c>
    </row>
    <row r="12" spans="1:38">
      <c r="A12" t="s">
        <v>453</v>
      </c>
      <c r="B12" s="394" t="s">
        <v>6</v>
      </c>
      <c r="C12" s="393">
        <f>Database!G28</f>
        <v>104.83004568682564</v>
      </c>
      <c r="D12" s="393">
        <f>Database!H28</f>
        <v>11.949099791303487</v>
      </c>
      <c r="E12" s="393">
        <f>Database!Q28</f>
        <v>0</v>
      </c>
      <c r="I12" s="376">
        <v>24.122197941770015</v>
      </c>
      <c r="J12" s="377">
        <v>2.0939407935564249</v>
      </c>
      <c r="K12" s="377">
        <v>100.50915809070841</v>
      </c>
      <c r="L12" s="376"/>
      <c r="N12" t="s">
        <v>453</v>
      </c>
      <c r="O12" s="376">
        <v>33.013737725356371</v>
      </c>
      <c r="P12" s="376" t="s">
        <v>452</v>
      </c>
      <c r="Q12" s="376">
        <v>3.3503052696902798E-5</v>
      </c>
      <c r="R12" s="376" t="s">
        <v>452</v>
      </c>
      <c r="T12" t="s">
        <v>453</v>
      </c>
      <c r="U12" s="376">
        <f t="shared" si="3"/>
        <v>-8.8915397835863565</v>
      </c>
      <c r="V12" s="376" t="str">
        <f t="shared" si="3"/>
        <v/>
      </c>
      <c r="W12" s="376">
        <f t="shared" si="3"/>
        <v>100.50912458765572</v>
      </c>
      <c r="X12" s="376" t="str">
        <f t="shared" si="3"/>
        <v/>
      </c>
      <c r="Z12" t="s">
        <v>6</v>
      </c>
      <c r="AA12" s="376">
        <v>22.009158483570911</v>
      </c>
      <c r="AB12" s="376" t="s">
        <v>452</v>
      </c>
      <c r="AC12" s="376" t="s">
        <v>452</v>
      </c>
      <c r="AD12" s="376" t="s">
        <v>452</v>
      </c>
      <c r="AF12" t="s">
        <v>6</v>
      </c>
      <c r="AG12" s="376">
        <f t="shared" si="4"/>
        <v>2.1130394581991041</v>
      </c>
      <c r="AH12" s="376" t="str">
        <f t="shared" si="4"/>
        <v/>
      </c>
      <c r="AI12" s="376" t="str">
        <f t="shared" si="4"/>
        <v/>
      </c>
      <c r="AJ12" s="376" t="str">
        <f t="shared" si="4"/>
        <v/>
      </c>
    </row>
    <row r="13" spans="1:38">
      <c r="A13" t="s">
        <v>9</v>
      </c>
      <c r="B13" s="394" t="s">
        <v>9</v>
      </c>
      <c r="C13" s="389" t="e">
        <f>Database!#REF!</f>
        <v>#REF!</v>
      </c>
      <c r="F13" s="389" t="e">
        <f>Database!#REF!</f>
        <v>#REF!</v>
      </c>
      <c r="I13" s="376">
        <v>5.4</v>
      </c>
      <c r="J13" s="377">
        <v>0</v>
      </c>
      <c r="K13" s="377"/>
      <c r="L13" s="377">
        <v>5.4</v>
      </c>
      <c r="N13" t="s">
        <v>9</v>
      </c>
      <c r="O13" s="376">
        <v>5.0840080101662597</v>
      </c>
      <c r="P13" s="376" t="s">
        <v>452</v>
      </c>
      <c r="Q13" s="376" t="s">
        <v>452</v>
      </c>
      <c r="R13" s="376" t="s">
        <v>452</v>
      </c>
      <c r="T13" t="s">
        <v>9</v>
      </c>
      <c r="U13" s="376">
        <f t="shared" si="3"/>
        <v>0.31599198983374066</v>
      </c>
      <c r="V13" s="376" t="str">
        <f t="shared" si="3"/>
        <v/>
      </c>
      <c r="W13" s="376" t="str">
        <f t="shared" si="3"/>
        <v/>
      </c>
      <c r="X13" s="376" t="str">
        <f t="shared" si="3"/>
        <v/>
      </c>
      <c r="Z13" t="s">
        <v>9</v>
      </c>
      <c r="AA13" s="376">
        <v>4.2283339643530073</v>
      </c>
      <c r="AB13" s="376" t="s">
        <v>452</v>
      </c>
      <c r="AC13" s="376" t="s">
        <v>452</v>
      </c>
      <c r="AD13" s="376" t="s">
        <v>452</v>
      </c>
      <c r="AF13" t="s">
        <v>9</v>
      </c>
      <c r="AG13" s="376">
        <f t="shared" si="4"/>
        <v>1.171666035646993</v>
      </c>
      <c r="AH13" s="376" t="str">
        <f t="shared" si="4"/>
        <v/>
      </c>
      <c r="AI13" s="376" t="str">
        <f t="shared" si="4"/>
        <v/>
      </c>
      <c r="AJ13" s="376" t="str">
        <f t="shared" si="4"/>
        <v/>
      </c>
    </row>
    <row r="14" spans="1:38">
      <c r="A14" t="s">
        <v>10</v>
      </c>
      <c r="B14" s="378" t="s">
        <v>10</v>
      </c>
      <c r="C14" s="393">
        <f>Database!G43</f>
        <v>133.43721913654085</v>
      </c>
      <c r="D14" s="393">
        <f>Database!H43</f>
        <v>21.104767323819807</v>
      </c>
      <c r="E14" s="393">
        <f>Database!Q43</f>
        <v>15.498813503430172</v>
      </c>
      <c r="F14" s="395">
        <f>Database!U43</f>
        <v>0</v>
      </c>
      <c r="I14" s="376">
        <v>41.750512167005184</v>
      </c>
      <c r="J14" s="377">
        <v>4.0732206992200171</v>
      </c>
      <c r="K14" s="376">
        <v>53.405886333713013</v>
      </c>
      <c r="L14" s="376">
        <v>6.9244751886740286</v>
      </c>
      <c r="N14" t="s">
        <v>10</v>
      </c>
      <c r="O14" s="376">
        <v>41.858667666964251</v>
      </c>
      <c r="P14" s="376" t="s">
        <v>452</v>
      </c>
      <c r="Q14" s="376">
        <v>46.760573627045794</v>
      </c>
      <c r="R14" s="376">
        <v>6.9244751886740294</v>
      </c>
      <c r="T14" t="s">
        <v>10</v>
      </c>
      <c r="U14" s="376">
        <f t="shared" si="3"/>
        <v>-0.10815549995906792</v>
      </c>
      <c r="V14" s="376" t="str">
        <f t="shared" si="3"/>
        <v/>
      </c>
      <c r="W14" s="376">
        <f t="shared" si="3"/>
        <v>6.6453127066672195</v>
      </c>
      <c r="X14" s="376">
        <f t="shared" si="3"/>
        <v>-8.8817841970012523E-16</v>
      </c>
      <c r="Z14" t="s">
        <v>10</v>
      </c>
      <c r="AA14" s="376">
        <v>40.415265333620653</v>
      </c>
      <c r="AB14" s="376" t="s">
        <v>452</v>
      </c>
      <c r="AC14" s="376">
        <v>46.760573627045794</v>
      </c>
      <c r="AD14" s="376">
        <v>6.9244751886740294</v>
      </c>
      <c r="AF14" t="s">
        <v>10</v>
      </c>
      <c r="AG14" s="376">
        <f t="shared" si="4"/>
        <v>1.3352468333845309</v>
      </c>
      <c r="AH14" s="376" t="str">
        <f t="shared" si="4"/>
        <v/>
      </c>
      <c r="AI14" s="376">
        <f t="shared" si="4"/>
        <v>6.6453127066672195</v>
      </c>
      <c r="AJ14" s="376">
        <f t="shared" si="4"/>
        <v>-8.8817841970012523E-16</v>
      </c>
    </row>
    <row r="15" spans="1:38">
      <c r="A15" t="s">
        <v>454</v>
      </c>
      <c r="B15" t="s">
        <v>11</v>
      </c>
      <c r="C15" s="393">
        <f>Database!G46</f>
        <v>710.64739339926814</v>
      </c>
      <c r="I15" s="376">
        <v>380.21585474627005</v>
      </c>
      <c r="J15" s="376">
        <v>16.337400008628791</v>
      </c>
      <c r="K15" s="376">
        <v>0</v>
      </c>
      <c r="L15" s="376" t="s">
        <v>452</v>
      </c>
      <c r="N15" t="s">
        <v>454</v>
      </c>
      <c r="O15" s="376">
        <v>381.25055691380095</v>
      </c>
      <c r="P15" s="376">
        <v>15.250022276552036</v>
      </c>
      <c r="Q15" s="376">
        <v>8.9632917320067964</v>
      </c>
      <c r="R15" s="376">
        <v>59.408727304104694</v>
      </c>
      <c r="T15" t="s">
        <v>454</v>
      </c>
      <c r="U15" s="376">
        <f t="shared" si="3"/>
        <v>-1.0347021675308952</v>
      </c>
      <c r="V15" s="376">
        <f t="shared" si="3"/>
        <v>1.0873777320767548</v>
      </c>
      <c r="W15" s="376">
        <f t="shared" si="3"/>
        <v>-8.9632917320067964</v>
      </c>
      <c r="X15" s="376" t="str">
        <f t="shared" si="3"/>
        <v/>
      </c>
      <c r="Z15" t="s">
        <v>11</v>
      </c>
      <c r="AA15" s="376">
        <v>366.00053463724885</v>
      </c>
      <c r="AB15" s="376">
        <v>15.250022276552036</v>
      </c>
      <c r="AC15" s="376">
        <v>8.9632917320067964</v>
      </c>
      <c r="AD15" s="376" t="s">
        <v>452</v>
      </c>
      <c r="AF15" t="s">
        <v>11</v>
      </c>
      <c r="AG15" s="376">
        <f t="shared" si="4"/>
        <v>14.215320109021206</v>
      </c>
      <c r="AH15" s="376">
        <f t="shared" si="4"/>
        <v>1.0873777320767548</v>
      </c>
      <c r="AI15" s="376">
        <f t="shared" si="4"/>
        <v>-8.9632917320067964</v>
      </c>
      <c r="AJ15" s="376" t="str">
        <f t="shared" si="4"/>
        <v/>
      </c>
    </row>
    <row r="16" spans="1:38">
      <c r="A16" t="s">
        <v>12</v>
      </c>
      <c r="B16" t="s">
        <v>12</v>
      </c>
      <c r="C16" s="393">
        <f>Database!G49</f>
        <v>108.91796310307309</v>
      </c>
      <c r="I16" s="376">
        <v>21.253701654670344</v>
      </c>
      <c r="J16" s="376">
        <v>2.0306084383443004</v>
      </c>
      <c r="K16" s="376" t="s">
        <v>452</v>
      </c>
      <c r="L16" s="376" t="s">
        <v>452</v>
      </c>
      <c r="N16" t="s">
        <v>12</v>
      </c>
      <c r="O16" s="376">
        <v>32.221851643522058</v>
      </c>
      <c r="P16" s="376">
        <v>2.929259240320186</v>
      </c>
      <c r="Q16" s="376" t="s">
        <v>452</v>
      </c>
      <c r="R16" s="376" t="s">
        <v>452</v>
      </c>
      <c r="T16" t="s">
        <v>12</v>
      </c>
      <c r="U16" s="376">
        <f t="shared" si="3"/>
        <v>-10.968149988851714</v>
      </c>
      <c r="V16" s="376">
        <f t="shared" si="3"/>
        <v>-0.89865080197588565</v>
      </c>
      <c r="W16" s="376" t="str">
        <f t="shared" si="3"/>
        <v/>
      </c>
      <c r="X16" s="376" t="str">
        <f t="shared" si="3"/>
        <v/>
      </c>
      <c r="Z16" t="s">
        <v>12</v>
      </c>
      <c r="AA16" s="376">
        <v>26.36333316288168</v>
      </c>
      <c r="AB16" s="376">
        <v>2.929259240320186</v>
      </c>
      <c r="AC16" s="376" t="s">
        <v>452</v>
      </c>
      <c r="AD16" s="376" t="s">
        <v>452</v>
      </c>
      <c r="AF16" t="s">
        <v>12</v>
      </c>
      <c r="AG16" s="376">
        <f t="shared" si="4"/>
        <v>-5.1096315082113364</v>
      </c>
      <c r="AH16" s="376">
        <f t="shared" si="4"/>
        <v>-0.89865080197588565</v>
      </c>
      <c r="AI16" s="376" t="str">
        <f t="shared" si="4"/>
        <v/>
      </c>
      <c r="AJ16" s="376" t="str">
        <f t="shared" si="4"/>
        <v/>
      </c>
    </row>
    <row r="17" spans="1:36">
      <c r="A17" t="s">
        <v>13</v>
      </c>
      <c r="B17" t="s">
        <v>13</v>
      </c>
      <c r="C17" s="393">
        <f>Database!G52</f>
        <v>98.860320620644671</v>
      </c>
      <c r="D17" s="395">
        <f>Database!H52</f>
        <v>21.588685592667606</v>
      </c>
      <c r="E17" s="395">
        <f>Database!Q52</f>
        <v>2.4132367580927534</v>
      </c>
      <c r="F17" s="395"/>
      <c r="I17" s="376">
        <v>18.236698463447684</v>
      </c>
      <c r="J17" s="376">
        <v>4.7958099765467974</v>
      </c>
      <c r="K17" s="376"/>
      <c r="L17" s="376">
        <v>9.4654144273949932</v>
      </c>
      <c r="N17" t="s">
        <v>13</v>
      </c>
      <c r="O17" s="376">
        <v>18.593101566475504</v>
      </c>
      <c r="P17" s="376">
        <v>5.1647504351320839</v>
      </c>
      <c r="Q17" s="376">
        <v>9.4654144273949932</v>
      </c>
      <c r="R17" s="376" t="s">
        <v>452</v>
      </c>
      <c r="T17" t="s">
        <v>13</v>
      </c>
      <c r="U17" s="376">
        <f t="shared" si="3"/>
        <v>-0.35640310302781941</v>
      </c>
      <c r="V17" s="376">
        <f t="shared" si="3"/>
        <v>-0.36894045858528646</v>
      </c>
      <c r="W17" s="376">
        <f t="shared" si="3"/>
        <v>-9.4654144273949932</v>
      </c>
      <c r="X17" s="376" t="str">
        <f t="shared" si="3"/>
        <v/>
      </c>
      <c r="Z17" t="s">
        <v>13</v>
      </c>
      <c r="AA17" s="376">
        <v>18.593101566475504</v>
      </c>
      <c r="AB17" s="376">
        <v>5.1647504351320839</v>
      </c>
      <c r="AC17" s="376">
        <v>9.4654144273949932</v>
      </c>
      <c r="AD17" s="376" t="s">
        <v>452</v>
      </c>
      <c r="AF17" t="s">
        <v>13</v>
      </c>
      <c r="AG17" s="376">
        <f t="shared" si="4"/>
        <v>-0.35640310302781941</v>
      </c>
      <c r="AH17" s="376">
        <f t="shared" si="4"/>
        <v>-0.36894045858528646</v>
      </c>
      <c r="AI17" s="376">
        <f t="shared" si="4"/>
        <v>-9.4654144273949932</v>
      </c>
      <c r="AJ17" s="376" t="str">
        <f t="shared" si="4"/>
        <v/>
      </c>
    </row>
    <row r="18" spans="1:36">
      <c r="A18" t="s">
        <v>14</v>
      </c>
      <c r="B18" t="s">
        <v>14</v>
      </c>
      <c r="C18" s="395">
        <f>Database!G55</f>
        <v>7.0279601888550927</v>
      </c>
      <c r="D18" s="395"/>
      <c r="E18" s="395">
        <f>Database!Q55</f>
        <v>0.89362142798687272</v>
      </c>
      <c r="I18" s="376">
        <v>7.8719766621986365</v>
      </c>
      <c r="J18" s="376">
        <v>7.8719766621986365</v>
      </c>
      <c r="K18" s="376">
        <v>3.2799902759160982</v>
      </c>
      <c r="L18" s="376" t="s">
        <v>452</v>
      </c>
      <c r="N18" t="s">
        <v>14</v>
      </c>
      <c r="O18" s="376">
        <v>7.1925241794184513</v>
      </c>
      <c r="P18" s="376">
        <v>7.1925241794184513</v>
      </c>
      <c r="Q18" s="376">
        <v>1.0933300919720328</v>
      </c>
      <c r="R18" s="376" t="s">
        <v>452</v>
      </c>
      <c r="T18" t="s">
        <v>14</v>
      </c>
      <c r="U18" s="376">
        <f t="shared" si="3"/>
        <v>0.67945248278018511</v>
      </c>
      <c r="V18" s="376">
        <f t="shared" si="3"/>
        <v>0.67945248278018511</v>
      </c>
      <c r="W18" s="376">
        <f t="shared" si="3"/>
        <v>2.1866601839440651</v>
      </c>
      <c r="X18" s="376" t="str">
        <f t="shared" si="3"/>
        <v/>
      </c>
      <c r="Z18" t="s">
        <v>14</v>
      </c>
      <c r="AA18" s="376" t="s">
        <v>452</v>
      </c>
      <c r="AB18" s="376" t="s">
        <v>452</v>
      </c>
      <c r="AC18" s="376">
        <v>1.0933300919720328</v>
      </c>
      <c r="AD18" s="376" t="s">
        <v>452</v>
      </c>
      <c r="AF18" t="s">
        <v>14</v>
      </c>
      <c r="AG18" s="376" t="str">
        <f t="shared" si="4"/>
        <v/>
      </c>
      <c r="AH18" s="376" t="str">
        <f t="shared" si="4"/>
        <v/>
      </c>
      <c r="AI18" s="376">
        <f t="shared" si="4"/>
        <v>2.1866601839440651</v>
      </c>
      <c r="AJ18" s="376" t="str">
        <f t="shared" si="4"/>
        <v/>
      </c>
    </row>
    <row r="19" spans="1:36">
      <c r="A19" t="s">
        <v>455</v>
      </c>
      <c r="B19" s="174" t="s">
        <v>15</v>
      </c>
      <c r="C19" s="393" t="e">
        <f>Database!#REF!</f>
        <v>#REF!</v>
      </c>
      <c r="D19" s="395" t="e">
        <f>Database!#REF!</f>
        <v>#REF!</v>
      </c>
      <c r="I19" s="375">
        <v>11.566164602422573</v>
      </c>
      <c r="J19" s="376">
        <v>1.0075414498110333</v>
      </c>
      <c r="K19" s="376">
        <v>7.3252375815342967</v>
      </c>
      <c r="L19" s="376"/>
      <c r="N19" t="s">
        <v>455</v>
      </c>
      <c r="O19" s="376">
        <v>25.031019321838411</v>
      </c>
      <c r="P19" s="376">
        <v>1.3174220695704426</v>
      </c>
      <c r="Q19" s="376">
        <v>11.24488225235528</v>
      </c>
      <c r="R19" s="376">
        <v>11.951703422503327</v>
      </c>
      <c r="T19" t="s">
        <v>455</v>
      </c>
      <c r="U19" s="376">
        <f t="shared" si="3"/>
        <v>-13.464854719415838</v>
      </c>
      <c r="V19" s="376">
        <f t="shared" si="3"/>
        <v>-0.30988061975940928</v>
      </c>
      <c r="W19" s="376">
        <f t="shared" si="3"/>
        <v>-3.9196446708209836</v>
      </c>
      <c r="X19" s="376">
        <f t="shared" si="3"/>
        <v>-11.951703422503327</v>
      </c>
      <c r="Z19" t="s">
        <v>15</v>
      </c>
      <c r="AA19" s="376">
        <v>19.761331043556638</v>
      </c>
      <c r="AB19" s="376" t="s">
        <v>452</v>
      </c>
      <c r="AC19" s="376">
        <v>8.3533411017496366</v>
      </c>
      <c r="AD19" s="376">
        <v>6.4256470013458751</v>
      </c>
      <c r="AF19" t="s">
        <v>15</v>
      </c>
      <c r="AG19" s="376">
        <f t="shared" si="4"/>
        <v>-8.1951664411340648</v>
      </c>
      <c r="AH19" s="376" t="str">
        <f t="shared" si="4"/>
        <v/>
      </c>
      <c r="AI19" s="376">
        <f t="shared" si="4"/>
        <v>-1.0281035202153399</v>
      </c>
      <c r="AJ19" s="376">
        <f t="shared" si="4"/>
        <v>-6.4256470013458751</v>
      </c>
    </row>
    <row r="20" spans="1:36">
      <c r="A20" t="s">
        <v>16</v>
      </c>
      <c r="B20" s="379" t="s">
        <v>16</v>
      </c>
      <c r="C20" s="395" t="e">
        <f>Database!#REF!</f>
        <v>#REF!</v>
      </c>
      <c r="D20" s="395"/>
      <c r="E20" s="395" t="e">
        <f>Database!#REF!</f>
        <v>#REF!</v>
      </c>
      <c r="I20" s="380">
        <v>0</v>
      </c>
      <c r="J20" s="376">
        <v>0</v>
      </c>
      <c r="K20" s="376">
        <v>8.2666666666666657</v>
      </c>
      <c r="L20" s="376" t="s">
        <v>452</v>
      </c>
      <c r="N20" t="s">
        <v>16</v>
      </c>
      <c r="O20" s="376">
        <v>20.720597916319729</v>
      </c>
      <c r="P20" s="376" t="s">
        <v>452</v>
      </c>
      <c r="Q20" s="376">
        <v>14.133333333333333</v>
      </c>
      <c r="R20" s="376" t="s">
        <v>452</v>
      </c>
      <c r="T20" t="s">
        <v>16</v>
      </c>
      <c r="U20" s="376">
        <f t="shared" si="3"/>
        <v>-20.720597916319729</v>
      </c>
      <c r="V20" s="376" t="str">
        <f t="shared" si="3"/>
        <v/>
      </c>
      <c r="W20" s="376">
        <f t="shared" si="3"/>
        <v>-5.8666666666666671</v>
      </c>
      <c r="X20" s="376" t="str">
        <f t="shared" si="3"/>
        <v/>
      </c>
      <c r="Z20" t="s">
        <v>16</v>
      </c>
      <c r="AA20" s="375">
        <v>18.035821864349067</v>
      </c>
      <c r="AB20" s="376" t="s">
        <v>452</v>
      </c>
      <c r="AC20" s="376">
        <v>11.733333333333333</v>
      </c>
      <c r="AD20" s="376" t="s">
        <v>452</v>
      </c>
      <c r="AF20" t="s">
        <v>16</v>
      </c>
      <c r="AG20" s="376">
        <f t="shared" si="4"/>
        <v>-18.035821864349067</v>
      </c>
      <c r="AH20" s="376" t="str">
        <f t="shared" si="4"/>
        <v/>
      </c>
      <c r="AI20" s="376">
        <f t="shared" si="4"/>
        <v>-3.4666666666666668</v>
      </c>
      <c r="AJ20" s="376" t="str">
        <f t="shared" si="4"/>
        <v/>
      </c>
    </row>
    <row r="21" spans="1:36">
      <c r="A21" t="s">
        <v>17</v>
      </c>
      <c r="B21" s="379" t="s">
        <v>17</v>
      </c>
      <c r="C21" s="395" t="e">
        <f>Database!#REF!</f>
        <v>#REF!</v>
      </c>
      <c r="E21" s="395" t="e">
        <f>Database!#REF!</f>
        <v>#REF!</v>
      </c>
      <c r="F21" s="393" t="e">
        <f>Database!#REF!</f>
        <v>#REF!</v>
      </c>
      <c r="I21" s="380">
        <v>0</v>
      </c>
      <c r="J21" s="376">
        <v>0</v>
      </c>
      <c r="K21" s="376">
        <v>1.7257142857142855</v>
      </c>
      <c r="L21" s="376" t="s">
        <v>452</v>
      </c>
      <c r="N21" t="s">
        <v>17</v>
      </c>
      <c r="O21" s="376">
        <v>28.025820456068001</v>
      </c>
      <c r="P21" s="376">
        <v>1.1210328182427201</v>
      </c>
      <c r="Q21" s="376">
        <v>8.5714285714285719E-3</v>
      </c>
      <c r="R21" s="376" t="s">
        <v>452</v>
      </c>
      <c r="T21" t="s">
        <v>17</v>
      </c>
      <c r="U21" s="376">
        <f t="shared" si="3"/>
        <v>-28.025820456068001</v>
      </c>
      <c r="V21" s="376">
        <f t="shared" si="3"/>
        <v>-1.1210328182427201</v>
      </c>
      <c r="W21" s="376">
        <f t="shared" si="3"/>
        <v>1.7171428571428569</v>
      </c>
      <c r="X21" s="376" t="str">
        <f t="shared" si="3"/>
        <v/>
      </c>
      <c r="Z21" t="s">
        <v>17</v>
      </c>
      <c r="AA21" s="376" t="s">
        <v>452</v>
      </c>
      <c r="AB21" s="376" t="s">
        <v>452</v>
      </c>
      <c r="AC21" s="376">
        <v>8.5714285714285719E-3</v>
      </c>
      <c r="AD21" s="376" t="s">
        <v>452</v>
      </c>
      <c r="AF21" t="s">
        <v>17</v>
      </c>
      <c r="AG21" s="376" t="str">
        <f t="shared" si="4"/>
        <v/>
      </c>
      <c r="AH21" s="376" t="str">
        <f t="shared" si="4"/>
        <v/>
      </c>
      <c r="AI21" s="376">
        <f t="shared" si="4"/>
        <v>1.7171428571428569</v>
      </c>
      <c r="AJ21" s="376" t="str">
        <f t="shared" si="4"/>
        <v/>
      </c>
    </row>
    <row r="22" spans="1:36">
      <c r="A22" t="s">
        <v>18</v>
      </c>
      <c r="B22" s="378" t="s">
        <v>18</v>
      </c>
      <c r="C22" s="393">
        <f>Database!G67</f>
        <v>25.234121210982789</v>
      </c>
      <c r="E22" s="395">
        <f>Database!U67</f>
        <v>45.932091746390377</v>
      </c>
      <c r="I22" s="376">
        <v>11.278195488721801</v>
      </c>
      <c r="J22" s="376">
        <v>0</v>
      </c>
      <c r="K22" s="376"/>
      <c r="L22" s="377">
        <v>3.7593984962406015</v>
      </c>
      <c r="N22" t="s">
        <v>18</v>
      </c>
      <c r="O22" s="376">
        <v>13.945961071582314</v>
      </c>
      <c r="P22" s="376" t="s">
        <v>452</v>
      </c>
      <c r="Q22" s="376" t="s">
        <v>452</v>
      </c>
      <c r="R22" s="376" t="s">
        <v>452</v>
      </c>
      <c r="T22" t="s">
        <v>18</v>
      </c>
      <c r="U22" s="376">
        <f t="shared" si="3"/>
        <v>-2.6677655828605129</v>
      </c>
      <c r="V22" s="376" t="str">
        <f t="shared" si="3"/>
        <v/>
      </c>
      <c r="W22" s="376" t="str">
        <f t="shared" si="3"/>
        <v/>
      </c>
      <c r="X22" s="376" t="str">
        <f t="shared" si="3"/>
        <v/>
      </c>
      <c r="Z22" t="s">
        <v>18</v>
      </c>
      <c r="AA22" s="376" t="s">
        <v>452</v>
      </c>
      <c r="AB22" s="376" t="s">
        <v>452</v>
      </c>
      <c r="AC22" s="376" t="s">
        <v>452</v>
      </c>
      <c r="AD22" s="376" t="s">
        <v>452</v>
      </c>
      <c r="AF22" t="s">
        <v>18</v>
      </c>
      <c r="AG22" s="376" t="str">
        <f t="shared" si="4"/>
        <v/>
      </c>
      <c r="AH22" s="376" t="str">
        <f t="shared" si="4"/>
        <v/>
      </c>
      <c r="AI22" s="376" t="str">
        <f t="shared" si="4"/>
        <v/>
      </c>
      <c r="AJ22" s="376" t="str">
        <f t="shared" si="4"/>
        <v/>
      </c>
    </row>
    <row r="23" spans="1:36">
      <c r="O23" s="376"/>
      <c r="P23" s="376"/>
      <c r="Q23" s="376"/>
      <c r="R23" s="376"/>
      <c r="U23" s="376"/>
      <c r="V23" s="376"/>
      <c r="W23" s="376"/>
      <c r="X23" s="376"/>
      <c r="AA23" s="376"/>
      <c r="AB23" s="376"/>
      <c r="AC23" s="376"/>
      <c r="AD23" s="376"/>
    </row>
    <row r="24" spans="1:36">
      <c r="A24" t="s">
        <v>32</v>
      </c>
      <c r="B24" s="378" t="s">
        <v>32</v>
      </c>
      <c r="C24" s="393">
        <f>Database!G31</f>
        <v>107.45168705821794</v>
      </c>
      <c r="D24" s="393">
        <f>Database!H31</f>
        <v>21.924024518198266</v>
      </c>
      <c r="E24" s="393">
        <f>Database!Q31</f>
        <v>0.72927910812746966</v>
      </c>
      <c r="F24" s="393">
        <f>Database!U31</f>
        <v>171.87704801877453</v>
      </c>
      <c r="I24" s="376">
        <v>15.603467357376825</v>
      </c>
      <c r="J24" s="376">
        <v>4.3466801924121157</v>
      </c>
      <c r="K24" s="377">
        <v>11.145333826697733</v>
      </c>
      <c r="L24" s="376">
        <v>113.68240503231685</v>
      </c>
      <c r="N24" t="s">
        <v>32</v>
      </c>
      <c r="O24" s="376">
        <v>20.402244445391538</v>
      </c>
      <c r="P24" s="376">
        <v>3.8254208335109139</v>
      </c>
      <c r="Q24" s="376" t="s">
        <v>452</v>
      </c>
      <c r="R24" s="376">
        <v>113.68240503231688</v>
      </c>
      <c r="T24" t="s">
        <v>32</v>
      </c>
      <c r="U24" s="376">
        <f t="shared" si="3"/>
        <v>-4.7987770880147131</v>
      </c>
      <c r="V24" s="376">
        <f t="shared" si="3"/>
        <v>0.52125935890120179</v>
      </c>
      <c r="W24" s="376" t="str">
        <f t="shared" si="3"/>
        <v/>
      </c>
      <c r="X24" s="376">
        <f t="shared" si="3"/>
        <v>-2.8421709430404007E-14</v>
      </c>
      <c r="Z24" t="s">
        <v>32</v>
      </c>
      <c r="AA24" s="376">
        <v>14.026543056206684</v>
      </c>
      <c r="AB24" s="376">
        <v>3.8254208335109139</v>
      </c>
      <c r="AC24" s="376" t="s">
        <v>452</v>
      </c>
      <c r="AD24" s="376">
        <v>113.68240503231688</v>
      </c>
      <c r="AF24" t="s">
        <v>32</v>
      </c>
      <c r="AG24" s="376">
        <f t="shared" ref="AG24:AJ44" si="5">IFERROR(I24-AA24, "")</f>
        <v>1.5769243011701413</v>
      </c>
      <c r="AH24" s="376">
        <f t="shared" si="5"/>
        <v>0.52125935890120179</v>
      </c>
      <c r="AI24" s="376" t="str">
        <f t="shared" si="5"/>
        <v/>
      </c>
      <c r="AJ24" s="376">
        <f t="shared" si="5"/>
        <v>-2.8421709430404007E-14</v>
      </c>
    </row>
    <row r="25" spans="1:36">
      <c r="A25" t="s">
        <v>19</v>
      </c>
      <c r="B25" s="174" t="s">
        <v>19</v>
      </c>
      <c r="I25" s="375">
        <v>8.9560716443708266</v>
      </c>
      <c r="J25" t="s">
        <v>452</v>
      </c>
      <c r="K25" s="380" t="s">
        <v>452</v>
      </c>
      <c r="L25" s="375">
        <v>9.702410948068394</v>
      </c>
      <c r="N25" t="s">
        <v>19</v>
      </c>
      <c r="O25" s="376">
        <v>13.416865583249292</v>
      </c>
      <c r="P25" s="376" t="s">
        <v>452</v>
      </c>
      <c r="Q25" s="376">
        <v>5.896080499210794</v>
      </c>
      <c r="R25" s="376">
        <v>15.165614651134598</v>
      </c>
      <c r="T25" t="s">
        <v>19</v>
      </c>
      <c r="U25" s="376">
        <f t="shared" si="3"/>
        <v>-4.4607939388784654</v>
      </c>
      <c r="V25" s="376" t="str">
        <f t="shared" si="3"/>
        <v/>
      </c>
      <c r="W25" s="376" t="str">
        <f t="shared" si="3"/>
        <v/>
      </c>
      <c r="X25" s="376">
        <f t="shared" si="3"/>
        <v>-5.4632037030662044</v>
      </c>
      <c r="Z25" t="s">
        <v>19</v>
      </c>
      <c r="AA25" s="376">
        <v>8.1810155995422527</v>
      </c>
      <c r="AB25" s="376" t="s">
        <v>452</v>
      </c>
      <c r="AC25" s="376">
        <v>0.22390179110927064</v>
      </c>
      <c r="AD25" s="376">
        <v>9.7770448784381525</v>
      </c>
      <c r="AF25" t="s">
        <v>19</v>
      </c>
      <c r="AG25" s="376">
        <f t="shared" si="5"/>
        <v>0.77505604482857393</v>
      </c>
      <c r="AH25" s="376" t="str">
        <f t="shared" si="5"/>
        <v/>
      </c>
      <c r="AI25" s="376" t="str">
        <f t="shared" si="5"/>
        <v/>
      </c>
      <c r="AJ25" s="376">
        <f t="shared" si="5"/>
        <v>-7.4633930369758517E-2</v>
      </c>
    </row>
    <row r="26" spans="1:36">
      <c r="A26" t="s">
        <v>21</v>
      </c>
      <c r="B26" t="s">
        <v>21</v>
      </c>
      <c r="I26" s="376">
        <v>10.773374745018828</v>
      </c>
      <c r="J26" t="s">
        <v>452</v>
      </c>
      <c r="K26" s="376" t="s">
        <v>452</v>
      </c>
      <c r="L26" s="376">
        <v>24.580029758052664</v>
      </c>
      <c r="N26" t="s">
        <v>21</v>
      </c>
      <c r="O26" s="376">
        <v>12.844398296250425</v>
      </c>
      <c r="P26" s="376" t="s">
        <v>452</v>
      </c>
      <c r="Q26" s="376" t="s">
        <v>452</v>
      </c>
      <c r="R26" s="376">
        <v>24.580029758052664</v>
      </c>
      <c r="T26" t="s">
        <v>21</v>
      </c>
      <c r="U26" s="376">
        <f t="shared" si="3"/>
        <v>-2.0710235512315975</v>
      </c>
      <c r="V26" s="376" t="str">
        <f t="shared" si="3"/>
        <v/>
      </c>
      <c r="W26" s="376" t="str">
        <f t="shared" si="3"/>
        <v/>
      </c>
      <c r="X26" s="376">
        <f t="shared" si="3"/>
        <v>0</v>
      </c>
      <c r="Z26" t="s">
        <v>21</v>
      </c>
      <c r="AA26" s="376">
        <v>9.3862910626445384</v>
      </c>
      <c r="AB26" s="376" t="s">
        <v>452</v>
      </c>
      <c r="AC26" s="376" t="s">
        <v>452</v>
      </c>
      <c r="AD26" s="376">
        <v>24.057050401498355</v>
      </c>
      <c r="AF26" t="s">
        <v>21</v>
      </c>
      <c r="AG26" s="376">
        <f t="shared" si="5"/>
        <v>1.3870836823742891</v>
      </c>
      <c r="AH26" s="376" t="str">
        <f t="shared" si="5"/>
        <v/>
      </c>
      <c r="AI26" s="376" t="str">
        <f t="shared" si="5"/>
        <v/>
      </c>
      <c r="AJ26" s="376">
        <f t="shared" si="5"/>
        <v>0.52297935655430905</v>
      </c>
    </row>
    <row r="27" spans="1:36">
      <c r="A27" t="s">
        <v>42</v>
      </c>
      <c r="B27" s="378" t="s">
        <v>42</v>
      </c>
      <c r="I27" s="377">
        <v>4.5843111794890898</v>
      </c>
      <c r="J27" t="s">
        <v>452</v>
      </c>
      <c r="K27" s="376">
        <v>2.3838418133343269</v>
      </c>
      <c r="L27" s="376" t="s">
        <v>452</v>
      </c>
      <c r="N27" t="s">
        <v>42</v>
      </c>
      <c r="O27" s="376" t="s">
        <v>452</v>
      </c>
      <c r="P27" s="376">
        <v>1.68797175368676</v>
      </c>
      <c r="Q27" s="376" t="s">
        <v>452</v>
      </c>
      <c r="R27" s="376" t="s">
        <v>452</v>
      </c>
      <c r="T27" t="s">
        <v>42</v>
      </c>
      <c r="U27" s="376" t="str">
        <f t="shared" ref="U27:X44" si="6">IFERROR(I27-O27,"")</f>
        <v/>
      </c>
      <c r="V27" s="376" t="str">
        <f t="shared" si="6"/>
        <v/>
      </c>
      <c r="W27" s="376" t="str">
        <f t="shared" si="6"/>
        <v/>
      </c>
      <c r="X27" s="376" t="str">
        <f t="shared" si="6"/>
        <v/>
      </c>
      <c r="Z27" t="s">
        <v>42</v>
      </c>
      <c r="AA27" s="376" t="s">
        <v>452</v>
      </c>
      <c r="AB27" s="376">
        <v>1.20546079343594</v>
      </c>
      <c r="AC27" s="376" t="s">
        <v>452</v>
      </c>
      <c r="AD27" s="376" t="s">
        <v>452</v>
      </c>
      <c r="AF27" t="s">
        <v>42</v>
      </c>
      <c r="AG27" s="376" t="str">
        <f t="shared" si="5"/>
        <v/>
      </c>
      <c r="AH27" s="376" t="str">
        <f t="shared" si="5"/>
        <v/>
      </c>
      <c r="AI27" s="376" t="str">
        <f t="shared" si="5"/>
        <v/>
      </c>
      <c r="AJ27" s="376" t="str">
        <f t="shared" si="5"/>
        <v/>
      </c>
    </row>
    <row r="28" spans="1:36">
      <c r="A28" t="s">
        <v>22</v>
      </c>
      <c r="B28" s="174" t="s">
        <v>22</v>
      </c>
      <c r="I28" s="375">
        <v>17.014931771484211</v>
      </c>
      <c r="J28" t="s">
        <v>452</v>
      </c>
      <c r="K28" s="380" t="s">
        <v>452</v>
      </c>
      <c r="L28" s="376">
        <v>17.014931771484211</v>
      </c>
      <c r="N28" t="s">
        <v>22</v>
      </c>
      <c r="O28" s="376">
        <v>22.960735368952175</v>
      </c>
      <c r="P28" s="376">
        <v>2.1280681561467873</v>
      </c>
      <c r="Q28" s="376">
        <v>43.788427353084366</v>
      </c>
      <c r="R28" s="376" t="s">
        <v>452</v>
      </c>
      <c r="T28" t="s">
        <v>22</v>
      </c>
      <c r="U28" s="376">
        <f t="shared" si="6"/>
        <v>-5.9458035974679646</v>
      </c>
      <c r="V28" s="376" t="str">
        <f t="shared" si="6"/>
        <v/>
      </c>
      <c r="W28" s="376" t="str">
        <f t="shared" si="6"/>
        <v/>
      </c>
      <c r="X28" s="376" t="str">
        <f t="shared" si="6"/>
        <v/>
      </c>
      <c r="Z28" t="s">
        <v>22</v>
      </c>
      <c r="AA28" s="376">
        <v>16.240520139014954</v>
      </c>
      <c r="AB28" s="376">
        <v>1.6800538074843057</v>
      </c>
      <c r="AC28" s="376">
        <v>17.014931771484211</v>
      </c>
      <c r="AD28" s="376" t="s">
        <v>452</v>
      </c>
      <c r="AF28" t="s">
        <v>22</v>
      </c>
      <c r="AG28" s="376">
        <f t="shared" si="5"/>
        <v>0.77441163246925626</v>
      </c>
      <c r="AH28" s="376" t="str">
        <f t="shared" si="5"/>
        <v/>
      </c>
      <c r="AI28" s="376" t="str">
        <f t="shared" si="5"/>
        <v/>
      </c>
      <c r="AJ28" s="376" t="str">
        <f t="shared" si="5"/>
        <v/>
      </c>
    </row>
    <row r="29" spans="1:36">
      <c r="A29" t="s">
        <v>56</v>
      </c>
      <c r="B29" t="s">
        <v>56</v>
      </c>
      <c r="I29" s="376">
        <v>7.2157930565010213</v>
      </c>
      <c r="J29" t="s">
        <v>452</v>
      </c>
      <c r="K29" s="376" t="s">
        <v>452</v>
      </c>
      <c r="L29" s="376" t="s">
        <v>452</v>
      </c>
      <c r="N29" t="s">
        <v>56</v>
      </c>
      <c r="O29" s="376">
        <v>6.859054174314446</v>
      </c>
      <c r="P29" s="376" t="s">
        <v>452</v>
      </c>
      <c r="Q29" s="376" t="s">
        <v>452</v>
      </c>
      <c r="R29" s="376" t="s">
        <v>452</v>
      </c>
      <c r="T29" t="s">
        <v>56</v>
      </c>
      <c r="U29" s="376">
        <f t="shared" si="6"/>
        <v>0.35673888218657535</v>
      </c>
      <c r="V29" s="376" t="str">
        <f t="shared" si="6"/>
        <v/>
      </c>
      <c r="W29" s="376" t="str">
        <f t="shared" si="6"/>
        <v/>
      </c>
      <c r="X29" s="376" t="str">
        <f t="shared" si="6"/>
        <v/>
      </c>
      <c r="Z29" t="s">
        <v>56</v>
      </c>
      <c r="AA29" s="376">
        <v>6.8011783312151746</v>
      </c>
      <c r="AB29" s="376" t="s">
        <v>452</v>
      </c>
      <c r="AC29" s="376" t="s">
        <v>452</v>
      </c>
      <c r="AD29" s="376" t="s">
        <v>452</v>
      </c>
      <c r="AF29" t="s">
        <v>56</v>
      </c>
      <c r="AG29" s="376">
        <f t="shared" si="5"/>
        <v>0.41461472528584675</v>
      </c>
      <c r="AH29" s="376" t="str">
        <f t="shared" si="5"/>
        <v/>
      </c>
      <c r="AI29" s="376" t="str">
        <f t="shared" si="5"/>
        <v/>
      </c>
      <c r="AJ29" s="376" t="str">
        <f t="shared" si="5"/>
        <v/>
      </c>
    </row>
    <row r="30" spans="1:36">
      <c r="A30" t="s">
        <v>23</v>
      </c>
      <c r="B30" s="174" t="s">
        <v>23</v>
      </c>
      <c r="I30" s="376">
        <v>6.133266685168687</v>
      </c>
      <c r="J30" t="s">
        <v>452</v>
      </c>
      <c r="K30" s="380" t="s">
        <v>452</v>
      </c>
      <c r="L30" s="376" t="s">
        <v>452</v>
      </c>
      <c r="N30" t="s">
        <v>23</v>
      </c>
      <c r="O30" s="376" t="s">
        <v>452</v>
      </c>
      <c r="P30" s="376" t="s">
        <v>452</v>
      </c>
      <c r="Q30" s="376">
        <v>6.133266685168687</v>
      </c>
      <c r="R30" s="376" t="s">
        <v>452</v>
      </c>
      <c r="T30" t="s">
        <v>23</v>
      </c>
      <c r="U30" s="376" t="str">
        <f t="shared" si="6"/>
        <v/>
      </c>
      <c r="V30" s="376" t="str">
        <f t="shared" si="6"/>
        <v/>
      </c>
      <c r="W30" s="376" t="str">
        <f t="shared" si="6"/>
        <v/>
      </c>
      <c r="X30" s="376" t="str">
        <f t="shared" si="6"/>
        <v/>
      </c>
      <c r="Z30" t="s">
        <v>23</v>
      </c>
      <c r="AA30" s="376">
        <v>6.9973096303042244</v>
      </c>
      <c r="AB30" s="376">
        <v>0.27989238521216897</v>
      </c>
      <c r="AC30" s="376">
        <v>1.2266533370337374</v>
      </c>
      <c r="AD30" s="376" t="s">
        <v>452</v>
      </c>
      <c r="AF30" t="s">
        <v>23</v>
      </c>
      <c r="AG30" s="376">
        <f t="shared" si="5"/>
        <v>-0.86404294513553737</v>
      </c>
      <c r="AH30" s="376" t="str">
        <f t="shared" si="5"/>
        <v/>
      </c>
      <c r="AI30" s="376" t="str">
        <f t="shared" si="5"/>
        <v/>
      </c>
      <c r="AJ30" s="376" t="str">
        <f t="shared" si="5"/>
        <v/>
      </c>
    </row>
    <row r="31" spans="1:36">
      <c r="A31" t="s">
        <v>35</v>
      </c>
      <c r="B31" s="378" t="s">
        <v>35</v>
      </c>
      <c r="I31" s="377">
        <v>3.1960794758429638</v>
      </c>
      <c r="J31" t="s">
        <v>452</v>
      </c>
      <c r="K31" s="375">
        <v>4.3375364315011646</v>
      </c>
      <c r="L31" s="376" t="s">
        <v>452</v>
      </c>
      <c r="N31" t="s">
        <v>35</v>
      </c>
      <c r="O31" s="376" t="s">
        <v>452</v>
      </c>
      <c r="P31" s="376" t="s">
        <v>452</v>
      </c>
      <c r="Q31" s="376">
        <v>1.3697483467898417</v>
      </c>
      <c r="R31" s="376" t="s">
        <v>452</v>
      </c>
      <c r="T31" t="s">
        <v>35</v>
      </c>
      <c r="U31" s="376" t="str">
        <f t="shared" si="6"/>
        <v/>
      </c>
      <c r="V31" s="376" t="str">
        <f t="shared" si="6"/>
        <v/>
      </c>
      <c r="W31" s="376">
        <f t="shared" si="6"/>
        <v>2.9677880847113229</v>
      </c>
      <c r="X31" s="376" t="str">
        <f t="shared" si="6"/>
        <v/>
      </c>
      <c r="Z31" t="s">
        <v>35</v>
      </c>
      <c r="AA31" s="376" t="s">
        <v>452</v>
      </c>
      <c r="AB31" s="376" t="s">
        <v>452</v>
      </c>
      <c r="AC31" s="376">
        <v>1.3697483467898417</v>
      </c>
      <c r="AD31" s="376" t="s">
        <v>452</v>
      </c>
      <c r="AF31" t="s">
        <v>35</v>
      </c>
      <c r="AG31" s="376" t="str">
        <f t="shared" si="5"/>
        <v/>
      </c>
      <c r="AH31" s="376" t="str">
        <f t="shared" si="5"/>
        <v/>
      </c>
      <c r="AI31" s="376">
        <f t="shared" si="5"/>
        <v>2.9677880847113229</v>
      </c>
      <c r="AJ31" s="376" t="str">
        <f t="shared" si="5"/>
        <v/>
      </c>
    </row>
    <row r="32" spans="1:36">
      <c r="A32" t="s">
        <v>55</v>
      </c>
      <c r="B32" s="378" t="s">
        <v>55</v>
      </c>
      <c r="I32" s="377">
        <v>22.290667653395467</v>
      </c>
      <c r="J32" t="s">
        <v>452</v>
      </c>
      <c r="K32" s="376" t="s">
        <v>452</v>
      </c>
      <c r="L32" s="376" t="s">
        <v>452</v>
      </c>
      <c r="N32" t="s">
        <v>55</v>
      </c>
      <c r="O32" s="376" t="s">
        <v>452</v>
      </c>
      <c r="P32" s="376" t="s">
        <v>452</v>
      </c>
      <c r="Q32" s="376" t="s">
        <v>452</v>
      </c>
      <c r="R32" s="376" t="s">
        <v>452</v>
      </c>
      <c r="T32" t="s">
        <v>55</v>
      </c>
      <c r="U32" s="376" t="str">
        <f t="shared" si="6"/>
        <v/>
      </c>
      <c r="V32" s="376" t="str">
        <f t="shared" si="6"/>
        <v/>
      </c>
      <c r="W32" s="376" t="str">
        <f t="shared" si="6"/>
        <v/>
      </c>
      <c r="X32" s="376" t="str">
        <f t="shared" si="6"/>
        <v/>
      </c>
      <c r="Z32" t="s">
        <v>55</v>
      </c>
      <c r="AA32" s="376" t="s">
        <v>452</v>
      </c>
      <c r="AB32" s="376" t="s">
        <v>452</v>
      </c>
      <c r="AC32" s="376" t="s">
        <v>452</v>
      </c>
      <c r="AD32" s="376" t="s">
        <v>452</v>
      </c>
      <c r="AF32" t="s">
        <v>55</v>
      </c>
      <c r="AG32" s="376" t="str">
        <f t="shared" si="5"/>
        <v/>
      </c>
      <c r="AH32" s="376" t="str">
        <f t="shared" si="5"/>
        <v/>
      </c>
      <c r="AI32" s="376" t="str">
        <f t="shared" si="5"/>
        <v/>
      </c>
      <c r="AJ32" s="376" t="str">
        <f t="shared" si="5"/>
        <v/>
      </c>
    </row>
    <row r="33" spans="1:36">
      <c r="A33" t="s">
        <v>20</v>
      </c>
      <c r="B33" s="174" t="s">
        <v>20</v>
      </c>
      <c r="I33" s="375">
        <v>4.3466801924121157</v>
      </c>
      <c r="J33" t="s">
        <v>452</v>
      </c>
      <c r="K33" s="375">
        <v>1.1145333826697732</v>
      </c>
      <c r="L33" s="375">
        <v>11.814053856299596</v>
      </c>
      <c r="N33" t="s">
        <v>20</v>
      </c>
      <c r="O33" s="376">
        <v>6.3649018394186481</v>
      </c>
      <c r="P33" s="376">
        <v>1.6482813528374987</v>
      </c>
      <c r="Q33" s="376">
        <v>5.4612135750818895</v>
      </c>
      <c r="R33" s="376">
        <v>26.748801184074559</v>
      </c>
      <c r="T33" t="s">
        <v>20</v>
      </c>
      <c r="U33" s="376">
        <f t="shared" si="6"/>
        <v>-2.0182216470065324</v>
      </c>
      <c r="V33" s="376" t="str">
        <f t="shared" si="6"/>
        <v/>
      </c>
      <c r="W33" s="376">
        <f t="shared" si="6"/>
        <v>-4.3466801924121166</v>
      </c>
      <c r="X33" s="376">
        <f t="shared" si="6"/>
        <v>-14.934747327774962</v>
      </c>
      <c r="Z33" s="174" t="s">
        <v>20</v>
      </c>
      <c r="AA33" s="375">
        <v>1.7750722261326908</v>
      </c>
      <c r="AB33" s="376">
        <v>0.2535817465903844</v>
      </c>
      <c r="AC33" s="375">
        <v>5.2940335676814234</v>
      </c>
      <c r="AD33" s="376">
        <v>11.145333826697733</v>
      </c>
      <c r="AF33" t="s">
        <v>20</v>
      </c>
      <c r="AG33" s="376">
        <f t="shared" si="5"/>
        <v>2.5716079662794247</v>
      </c>
      <c r="AH33" s="376" t="str">
        <f t="shared" si="5"/>
        <v/>
      </c>
      <c r="AI33" s="376">
        <f t="shared" si="5"/>
        <v>-4.1795001850116504</v>
      </c>
      <c r="AJ33" s="376">
        <f t="shared" si="5"/>
        <v>0.66872002960186272</v>
      </c>
    </row>
    <row r="34" spans="1:36">
      <c r="A34" t="s">
        <v>36</v>
      </c>
      <c r="B34" s="174" t="s">
        <v>36</v>
      </c>
      <c r="I34" s="376">
        <v>8.1095850796821001</v>
      </c>
      <c r="J34" t="s">
        <v>452</v>
      </c>
      <c r="K34" s="375">
        <v>5.2796777862513675</v>
      </c>
      <c r="L34" s="376">
        <v>5.2796777862513675</v>
      </c>
      <c r="N34" t="s">
        <v>36</v>
      </c>
      <c r="O34" s="376">
        <v>15.764886750972007</v>
      </c>
      <c r="P34" s="376" t="s">
        <v>452</v>
      </c>
      <c r="Q34" s="376">
        <v>15.839033358754103</v>
      </c>
      <c r="R34" s="376">
        <v>5.2796777862513675</v>
      </c>
      <c r="T34" t="s">
        <v>36</v>
      </c>
      <c r="U34" s="376">
        <f t="shared" si="6"/>
        <v>-7.6553016712899069</v>
      </c>
      <c r="V34" s="376" t="str">
        <f t="shared" si="6"/>
        <v/>
      </c>
      <c r="W34" s="376">
        <f t="shared" si="6"/>
        <v>-10.559355572502735</v>
      </c>
      <c r="X34" s="376">
        <f t="shared" si="6"/>
        <v>0</v>
      </c>
      <c r="Z34" t="s">
        <v>36</v>
      </c>
      <c r="AA34" s="376" t="s">
        <v>452</v>
      </c>
      <c r="AB34" s="376" t="s">
        <v>452</v>
      </c>
      <c r="AC34" s="375">
        <v>10.559355572502735</v>
      </c>
      <c r="AD34" s="376" t="s">
        <v>452</v>
      </c>
      <c r="AF34" t="s">
        <v>36</v>
      </c>
      <c r="AG34" s="376" t="str">
        <f t="shared" si="5"/>
        <v/>
      </c>
      <c r="AH34" s="376" t="str">
        <f t="shared" si="5"/>
        <v/>
      </c>
      <c r="AI34" s="376">
        <f t="shared" si="5"/>
        <v>-5.2796777862513675</v>
      </c>
      <c r="AJ34" s="376" t="str">
        <f t="shared" si="5"/>
        <v/>
      </c>
    </row>
    <row r="35" spans="1:36">
      <c r="A35" t="s">
        <v>31</v>
      </c>
      <c r="B35" s="174" t="s">
        <v>31</v>
      </c>
      <c r="I35" s="375">
        <v>24.811331833473677</v>
      </c>
      <c r="J35" t="s">
        <v>452</v>
      </c>
      <c r="K35" s="376">
        <v>14.425192926438186</v>
      </c>
      <c r="L35" s="376" t="s">
        <v>452</v>
      </c>
      <c r="N35" t="s">
        <v>31</v>
      </c>
      <c r="O35" s="376">
        <v>31.399435760252267</v>
      </c>
      <c r="P35" s="376">
        <v>0.56448423838655759</v>
      </c>
      <c r="Q35" s="376">
        <v>14.425192926438186</v>
      </c>
      <c r="R35" s="376" t="s">
        <v>452</v>
      </c>
      <c r="T35" t="s">
        <v>31</v>
      </c>
      <c r="U35" s="376">
        <f t="shared" si="6"/>
        <v>-6.5881039267785901</v>
      </c>
      <c r="V35" s="376" t="str">
        <f t="shared" si="6"/>
        <v/>
      </c>
      <c r="W35" s="376">
        <f t="shared" si="6"/>
        <v>0</v>
      </c>
      <c r="X35" s="376" t="str">
        <f t="shared" si="6"/>
        <v/>
      </c>
      <c r="Z35" t="s">
        <v>31</v>
      </c>
      <c r="AA35" s="376">
        <v>24.025860396327854</v>
      </c>
      <c r="AB35" s="376">
        <v>0.56448423838655759</v>
      </c>
      <c r="AC35" s="376">
        <v>14.425192926438186</v>
      </c>
      <c r="AD35" s="376" t="s">
        <v>452</v>
      </c>
      <c r="AF35" t="s">
        <v>31</v>
      </c>
      <c r="AG35" s="376">
        <f t="shared" si="5"/>
        <v>0.7854714371458229</v>
      </c>
      <c r="AH35" s="376" t="str">
        <f t="shared" si="5"/>
        <v/>
      </c>
      <c r="AI35" s="376">
        <f t="shared" si="5"/>
        <v>0</v>
      </c>
      <c r="AJ35" s="376" t="str">
        <f t="shared" si="5"/>
        <v/>
      </c>
    </row>
    <row r="36" spans="1:36">
      <c r="A36" t="s">
        <v>41</v>
      </c>
      <c r="B36" t="s">
        <v>41</v>
      </c>
      <c r="I36" s="376">
        <v>0.10400971404756772</v>
      </c>
      <c r="J36" t="s">
        <v>452</v>
      </c>
      <c r="K36" s="376" t="s">
        <v>452</v>
      </c>
      <c r="L36" s="376">
        <v>9.5342237876937075E-2</v>
      </c>
      <c r="N36" t="s">
        <v>41</v>
      </c>
      <c r="O36" s="376">
        <v>0.16441048359419844</v>
      </c>
      <c r="P36" s="376">
        <v>2.5511971592203208E-2</v>
      </c>
      <c r="Q36" s="376" t="s">
        <v>452</v>
      </c>
      <c r="R36" s="376">
        <v>0.22535438043639675</v>
      </c>
      <c r="T36" t="s">
        <v>41</v>
      </c>
      <c r="U36" s="376">
        <f t="shared" si="6"/>
        <v>-6.040076954663072E-2</v>
      </c>
      <c r="V36" s="376" t="str">
        <f t="shared" si="6"/>
        <v/>
      </c>
      <c r="W36" s="376" t="str">
        <f t="shared" si="6"/>
        <v/>
      </c>
      <c r="X36" s="376">
        <f t="shared" si="6"/>
        <v>-0.13001214255945967</v>
      </c>
      <c r="Z36" t="s">
        <v>41</v>
      </c>
      <c r="AA36" s="376">
        <v>0.10346521812393525</v>
      </c>
      <c r="AB36" s="376">
        <v>2.5511971592203208E-2</v>
      </c>
      <c r="AC36" s="376" t="s">
        <v>452</v>
      </c>
      <c r="AD36" s="376">
        <v>9.5342237876937075E-2</v>
      </c>
      <c r="AF36" t="s">
        <v>41</v>
      </c>
      <c r="AG36" s="376">
        <f t="shared" si="5"/>
        <v>5.4449592363246813E-4</v>
      </c>
      <c r="AH36" s="376" t="str">
        <f t="shared" si="5"/>
        <v/>
      </c>
      <c r="AI36" s="376" t="str">
        <f t="shared" si="5"/>
        <v/>
      </c>
      <c r="AJ36" s="376">
        <f t="shared" si="5"/>
        <v>0</v>
      </c>
    </row>
    <row r="37" spans="1:36">
      <c r="A37" t="s">
        <v>27</v>
      </c>
      <c r="B37" s="378" t="s">
        <v>27</v>
      </c>
      <c r="I37" s="377">
        <v>1.0770365544768734</v>
      </c>
      <c r="J37" t="s">
        <v>452</v>
      </c>
      <c r="K37" s="376">
        <v>0.39890242758402716</v>
      </c>
      <c r="L37" s="376" t="s">
        <v>452</v>
      </c>
      <c r="N37" t="s">
        <v>27</v>
      </c>
      <c r="O37" s="376" t="s">
        <v>452</v>
      </c>
      <c r="P37" s="376" t="s">
        <v>452</v>
      </c>
      <c r="Q37" s="376">
        <v>0.41257908224405099</v>
      </c>
      <c r="R37" s="376" t="s">
        <v>452</v>
      </c>
      <c r="T37" t="s">
        <v>27</v>
      </c>
      <c r="U37" s="376" t="str">
        <f t="shared" si="6"/>
        <v/>
      </c>
      <c r="V37" s="376" t="str">
        <f t="shared" si="6"/>
        <v/>
      </c>
      <c r="W37" s="376">
        <f t="shared" si="6"/>
        <v>-1.3676654660023824E-2</v>
      </c>
      <c r="X37" s="376" t="str">
        <f t="shared" si="6"/>
        <v/>
      </c>
      <c r="Z37" t="s">
        <v>27</v>
      </c>
      <c r="AA37" s="376" t="s">
        <v>452</v>
      </c>
      <c r="AB37" s="376" t="s">
        <v>452</v>
      </c>
      <c r="AC37" s="376">
        <v>0.39890242758402716</v>
      </c>
      <c r="AD37" s="376" t="s">
        <v>452</v>
      </c>
      <c r="AF37" t="s">
        <v>27</v>
      </c>
      <c r="AG37" s="376" t="str">
        <f t="shared" si="5"/>
        <v/>
      </c>
      <c r="AH37" s="376" t="str">
        <f t="shared" si="5"/>
        <v/>
      </c>
      <c r="AI37" s="376">
        <f t="shared" si="5"/>
        <v>0</v>
      </c>
      <c r="AJ37" s="376" t="str">
        <f t="shared" si="5"/>
        <v/>
      </c>
    </row>
    <row r="38" spans="1:36">
      <c r="A38" t="s">
        <v>34</v>
      </c>
      <c r="B38" s="174" t="s">
        <v>34</v>
      </c>
      <c r="I38" s="376" t="s">
        <v>452</v>
      </c>
      <c r="J38" t="s">
        <v>452</v>
      </c>
      <c r="K38" s="375">
        <v>8.4068705359627072E-2</v>
      </c>
      <c r="L38" s="376" t="s">
        <v>452</v>
      </c>
      <c r="N38" t="s">
        <v>34</v>
      </c>
      <c r="O38" s="376" t="s">
        <v>452</v>
      </c>
      <c r="P38" s="376">
        <v>5.6799626575816574E-2</v>
      </c>
      <c r="Q38" s="376">
        <v>7.6719165797693947</v>
      </c>
      <c r="R38" s="376" t="s">
        <v>452</v>
      </c>
      <c r="T38" t="s">
        <v>34</v>
      </c>
      <c r="U38" s="376" t="str">
        <f t="shared" si="6"/>
        <v/>
      </c>
      <c r="V38" s="376" t="str">
        <f t="shared" si="6"/>
        <v/>
      </c>
      <c r="W38" s="376">
        <f t="shared" si="6"/>
        <v>-7.5878478744097677</v>
      </c>
      <c r="X38" s="376" t="str">
        <f t="shared" si="6"/>
        <v/>
      </c>
      <c r="Z38" t="s">
        <v>34</v>
      </c>
      <c r="AA38" s="376" t="s">
        <v>452</v>
      </c>
      <c r="AB38" s="376">
        <v>5.6799626575816574E-2</v>
      </c>
      <c r="AC38" s="376">
        <v>3.8881776228827519E-3</v>
      </c>
      <c r="AD38" s="376" t="s">
        <v>452</v>
      </c>
      <c r="AF38" t="s">
        <v>34</v>
      </c>
      <c r="AG38" s="376" t="str">
        <f t="shared" si="5"/>
        <v/>
      </c>
      <c r="AH38" s="376" t="str">
        <f t="shared" si="5"/>
        <v/>
      </c>
      <c r="AI38" s="376">
        <f t="shared" si="5"/>
        <v>8.018052773674432E-2</v>
      </c>
      <c r="AJ38" s="376" t="str">
        <f t="shared" si="5"/>
        <v/>
      </c>
    </row>
    <row r="39" spans="1:36">
      <c r="A39" t="s">
        <v>92</v>
      </c>
      <c r="B39" s="174" t="s">
        <v>92</v>
      </c>
      <c r="I39" s="375">
        <v>2.6557185588491482E-2</v>
      </c>
      <c r="J39" t="s">
        <v>452</v>
      </c>
      <c r="K39" s="376">
        <v>7.001439836965935E-2</v>
      </c>
      <c r="L39" s="376" t="s">
        <v>452</v>
      </c>
      <c r="N39" t="s">
        <v>92</v>
      </c>
      <c r="O39" s="376">
        <v>0.20354924932468543</v>
      </c>
      <c r="P39" s="376">
        <v>4.7893941017573046E-3</v>
      </c>
      <c r="Q39" s="376" t="s">
        <v>452</v>
      </c>
      <c r="R39" s="376" t="s">
        <v>452</v>
      </c>
      <c r="T39" t="s">
        <v>92</v>
      </c>
      <c r="U39" s="376">
        <f t="shared" si="6"/>
        <v>-0.17699206373619394</v>
      </c>
      <c r="V39" s="376" t="str">
        <f t="shared" si="6"/>
        <v/>
      </c>
      <c r="W39" s="376" t="str">
        <f t="shared" si="6"/>
        <v/>
      </c>
      <c r="X39" s="376" t="str">
        <f t="shared" si="6"/>
        <v/>
      </c>
      <c r="Z39" t="s">
        <v>92</v>
      </c>
      <c r="AA39" s="376">
        <v>0.10057727613690338</v>
      </c>
      <c r="AB39" s="376">
        <v>4.7893941017573046E-3</v>
      </c>
      <c r="AC39" s="376" t="s">
        <v>452</v>
      </c>
      <c r="AD39" s="376" t="s">
        <v>452</v>
      </c>
      <c r="AF39" t="s">
        <v>92</v>
      </c>
      <c r="AG39" s="376">
        <f t="shared" si="5"/>
        <v>-7.402009054841191E-2</v>
      </c>
      <c r="AH39" s="376" t="str">
        <f t="shared" si="5"/>
        <v/>
      </c>
      <c r="AI39" s="376" t="str">
        <f t="shared" si="5"/>
        <v/>
      </c>
      <c r="AJ39" s="376" t="str">
        <f t="shared" si="5"/>
        <v/>
      </c>
    </row>
    <row r="40" spans="1:36">
      <c r="A40" t="s">
        <v>30</v>
      </c>
      <c r="B40" t="s">
        <v>30</v>
      </c>
      <c r="I40" s="376">
        <v>0.65761500844820187</v>
      </c>
      <c r="J40" t="s">
        <v>452</v>
      </c>
      <c r="K40" s="376">
        <v>0.34388453124705975</v>
      </c>
      <c r="L40" s="376">
        <v>0.16039390449956142</v>
      </c>
      <c r="N40" t="s">
        <v>30</v>
      </c>
      <c r="O40" s="376">
        <v>0.65700605392061129</v>
      </c>
      <c r="P40" s="376">
        <v>0.10277189670266547</v>
      </c>
      <c r="Q40" s="376">
        <v>0.50427843574662112</v>
      </c>
      <c r="R40" s="376">
        <v>0.16039390449956142</v>
      </c>
      <c r="T40" t="s">
        <v>30</v>
      </c>
      <c r="U40" s="376">
        <f t="shared" si="6"/>
        <v>6.0895452759057722E-4</v>
      </c>
      <c r="V40" s="376" t="str">
        <f t="shared" si="6"/>
        <v/>
      </c>
      <c r="W40" s="376">
        <f t="shared" si="6"/>
        <v>-0.16039390449956137</v>
      </c>
      <c r="X40" s="376">
        <f t="shared" si="6"/>
        <v>0</v>
      </c>
      <c r="Z40" t="s">
        <v>30</v>
      </c>
      <c r="AA40" s="376">
        <v>0.65700605392061129</v>
      </c>
      <c r="AB40" s="376">
        <v>0.10277189670266547</v>
      </c>
      <c r="AC40" s="376">
        <v>0.50427843574662112</v>
      </c>
      <c r="AD40" s="376">
        <v>0.16039390449956142</v>
      </c>
      <c r="AF40" t="s">
        <v>30</v>
      </c>
      <c r="AG40" s="376">
        <f t="shared" si="5"/>
        <v>6.0895452759057722E-4</v>
      </c>
      <c r="AH40" s="376" t="str">
        <f t="shared" si="5"/>
        <v/>
      </c>
      <c r="AI40" s="376">
        <f t="shared" si="5"/>
        <v>-0.16039390449956137</v>
      </c>
      <c r="AJ40" s="376">
        <f t="shared" si="5"/>
        <v>0</v>
      </c>
    </row>
    <row r="41" spans="1:36">
      <c r="A41" t="s">
        <v>37</v>
      </c>
      <c r="B41" t="s">
        <v>37</v>
      </c>
      <c r="I41" s="376">
        <v>0.61613837181330322</v>
      </c>
      <c r="J41" t="s">
        <v>452</v>
      </c>
      <c r="K41" s="376">
        <v>0.57102722132836259</v>
      </c>
      <c r="L41" s="376" t="s">
        <v>452</v>
      </c>
      <c r="N41" t="s">
        <v>37</v>
      </c>
      <c r="O41" s="376">
        <v>3.0522669119815546</v>
      </c>
      <c r="P41" s="376">
        <v>3.3541394637159938E-2</v>
      </c>
      <c r="Q41" s="376">
        <v>0.57102722132836259</v>
      </c>
      <c r="R41" s="376" t="s">
        <v>452</v>
      </c>
      <c r="T41" t="s">
        <v>37</v>
      </c>
      <c r="U41" s="376">
        <f t="shared" si="6"/>
        <v>-2.4361285401682515</v>
      </c>
      <c r="V41" s="376" t="str">
        <f t="shared" si="6"/>
        <v/>
      </c>
      <c r="W41" s="376">
        <f t="shared" si="6"/>
        <v>0</v>
      </c>
      <c r="X41" s="376" t="str">
        <f t="shared" si="6"/>
        <v/>
      </c>
      <c r="Z41" t="s">
        <v>37</v>
      </c>
      <c r="AA41" s="376">
        <v>0.67082789274319876</v>
      </c>
      <c r="AB41" s="376">
        <v>3.3541394637159938E-2</v>
      </c>
      <c r="AC41" s="376">
        <v>0.57102722132836259</v>
      </c>
      <c r="AD41" s="376" t="s">
        <v>452</v>
      </c>
      <c r="AF41" t="s">
        <v>37</v>
      </c>
      <c r="AG41" s="376">
        <f t="shared" si="5"/>
        <v>-5.4689520929895541E-2</v>
      </c>
      <c r="AH41" s="376" t="str">
        <f t="shared" si="5"/>
        <v/>
      </c>
      <c r="AI41" s="376">
        <f t="shared" si="5"/>
        <v>0</v>
      </c>
      <c r="AJ41" s="376" t="str">
        <f t="shared" si="5"/>
        <v/>
      </c>
    </row>
    <row r="42" spans="1:36">
      <c r="A42" t="s">
        <v>38</v>
      </c>
      <c r="B42" s="174" t="s">
        <v>38</v>
      </c>
      <c r="I42" s="376">
        <v>0.23266081102621139</v>
      </c>
      <c r="J42" t="s">
        <v>452</v>
      </c>
      <c r="K42" s="380" t="s">
        <v>452</v>
      </c>
      <c r="L42" s="376" t="s">
        <v>452</v>
      </c>
      <c r="N42" t="s">
        <v>38</v>
      </c>
      <c r="O42" s="376">
        <v>0.14915142887368271</v>
      </c>
      <c r="P42" s="376">
        <v>0.12429285739473558</v>
      </c>
      <c r="Q42" s="376">
        <v>1.2114407746537212</v>
      </c>
      <c r="R42" s="376" t="s">
        <v>452</v>
      </c>
      <c r="T42" t="s">
        <v>38</v>
      </c>
      <c r="U42" s="376">
        <f t="shared" si="6"/>
        <v>8.3509382152528677E-2</v>
      </c>
      <c r="V42" s="376" t="str">
        <f t="shared" si="6"/>
        <v/>
      </c>
      <c r="W42" s="376" t="str">
        <f t="shared" si="6"/>
        <v/>
      </c>
      <c r="X42" s="376" t="str">
        <f t="shared" si="6"/>
        <v/>
      </c>
      <c r="Z42" t="s">
        <v>38</v>
      </c>
      <c r="AA42" s="376">
        <v>0.14915142887368271</v>
      </c>
      <c r="AB42" s="376">
        <v>9.943428591578847E-2</v>
      </c>
      <c r="AC42" s="376">
        <v>1.2114407746537212</v>
      </c>
      <c r="AD42" s="376" t="s">
        <v>452</v>
      </c>
      <c r="AF42" t="s">
        <v>38</v>
      </c>
      <c r="AG42" s="376">
        <f t="shared" si="5"/>
        <v>8.3509382152528677E-2</v>
      </c>
      <c r="AH42" s="376" t="str">
        <f t="shared" si="5"/>
        <v/>
      </c>
      <c r="AI42" s="376" t="str">
        <f t="shared" si="5"/>
        <v/>
      </c>
      <c r="AJ42" s="376" t="str">
        <f t="shared" si="5"/>
        <v/>
      </c>
    </row>
    <row r="43" spans="1:36">
      <c r="A43" t="s">
        <v>93</v>
      </c>
      <c r="B43" s="174" t="s">
        <v>93</v>
      </c>
      <c r="I43" s="375">
        <v>1.2930114385724907</v>
      </c>
      <c r="J43" t="s">
        <v>452</v>
      </c>
      <c r="K43" s="376" t="s">
        <v>452</v>
      </c>
      <c r="L43" s="376" t="s">
        <v>452</v>
      </c>
      <c r="N43" t="s">
        <v>93</v>
      </c>
      <c r="O43" s="376">
        <v>1.726519646766401</v>
      </c>
      <c r="P43" s="376">
        <v>0.12332283191188578</v>
      </c>
      <c r="Q43" s="376" t="s">
        <v>452</v>
      </c>
      <c r="R43" s="376" t="s">
        <v>452</v>
      </c>
      <c r="T43" t="s">
        <v>93</v>
      </c>
      <c r="U43" s="376">
        <f t="shared" si="6"/>
        <v>-0.43350820819391034</v>
      </c>
      <c r="V43" s="376" t="str">
        <f t="shared" si="6"/>
        <v/>
      </c>
      <c r="W43" s="376" t="str">
        <f t="shared" si="6"/>
        <v/>
      </c>
      <c r="X43" s="376" t="str">
        <f t="shared" si="6"/>
        <v/>
      </c>
      <c r="Z43" s="174" t="s">
        <v>93</v>
      </c>
      <c r="AA43" s="375">
        <v>0.73993699147131464</v>
      </c>
      <c r="AB43" s="376">
        <v>0.12332283191188578</v>
      </c>
      <c r="AC43" s="376" t="s">
        <v>452</v>
      </c>
      <c r="AD43" s="376" t="s">
        <v>452</v>
      </c>
      <c r="AF43" t="s">
        <v>93</v>
      </c>
      <c r="AG43" s="376">
        <f t="shared" si="5"/>
        <v>0.55307444710117604</v>
      </c>
      <c r="AH43" s="376" t="str">
        <f t="shared" si="5"/>
        <v/>
      </c>
      <c r="AI43" s="376" t="str">
        <f t="shared" si="5"/>
        <v/>
      </c>
      <c r="AJ43" s="376" t="str">
        <f t="shared" si="5"/>
        <v/>
      </c>
    </row>
    <row r="44" spans="1:36">
      <c r="A44" t="s">
        <v>33</v>
      </c>
      <c r="B44" s="381" t="s">
        <v>33</v>
      </c>
      <c r="C44" s="392"/>
      <c r="D44" s="392"/>
      <c r="E44" s="392"/>
      <c r="F44" s="392"/>
      <c r="G44" s="392"/>
      <c r="H44" s="392"/>
      <c r="I44" s="382">
        <v>4.2051254536788276</v>
      </c>
      <c r="J44" s="383" t="s">
        <v>452</v>
      </c>
      <c r="K44" s="384" t="s">
        <v>452</v>
      </c>
      <c r="L44" s="384" t="s">
        <v>452</v>
      </c>
      <c r="N44" t="s">
        <v>33</v>
      </c>
      <c r="O44" s="376">
        <v>12.131348084450686</v>
      </c>
      <c r="P44" s="376">
        <v>0.69321989054003907</v>
      </c>
      <c r="Q44" s="376" t="s">
        <v>452</v>
      </c>
      <c r="R44" s="376" t="s">
        <v>452</v>
      </c>
      <c r="T44" t="s">
        <v>33</v>
      </c>
      <c r="U44" s="376">
        <f t="shared" si="6"/>
        <v>-7.926222630771858</v>
      </c>
      <c r="V44" s="376" t="str">
        <f t="shared" si="6"/>
        <v/>
      </c>
      <c r="W44" s="376" t="str">
        <f t="shared" si="6"/>
        <v/>
      </c>
      <c r="X44" s="376" t="str">
        <f t="shared" si="6"/>
        <v/>
      </c>
      <c r="Z44" s="383" t="s">
        <v>33</v>
      </c>
      <c r="AA44" s="384">
        <v>4.505929288510254</v>
      </c>
      <c r="AB44" s="384">
        <v>0.10398298358100586</v>
      </c>
      <c r="AC44" s="384" t="s">
        <v>452</v>
      </c>
      <c r="AD44" s="384" t="s">
        <v>452</v>
      </c>
      <c r="AF44" s="383" t="s">
        <v>33</v>
      </c>
      <c r="AG44" s="384">
        <f t="shared" si="5"/>
        <v>-0.30080383483142636</v>
      </c>
      <c r="AH44" s="384" t="str">
        <f t="shared" si="5"/>
        <v/>
      </c>
      <c r="AI44" s="384" t="str">
        <f t="shared" si="5"/>
        <v/>
      </c>
      <c r="AJ44" s="384" t="str">
        <f t="shared" si="5"/>
        <v/>
      </c>
    </row>
  </sheetData>
  <conditionalFormatting sqref="U3:X44">
    <cfRule type="colorScale" priority="1">
      <colorScale>
        <cfvo type="min"/>
        <cfvo type="percentile" val="50"/>
        <cfvo type="max"/>
        <color rgb="FF5A8AC6"/>
        <color rgb="FFFCFCFF"/>
        <color rgb="FFF8696B"/>
      </colorScale>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56F2-259D-4551-B464-F5D63BD7D606}">
  <dimension ref="A1:AH44"/>
  <sheetViews>
    <sheetView workbookViewId="0">
      <pane xSplit="2" ySplit="2" topLeftCell="C10" activePane="bottomRight" state="frozen"/>
      <selection activeCell="A12" sqref="A12"/>
      <selection pane="topRight" activeCell="A12" sqref="A12"/>
      <selection pane="bottomLeft" activeCell="A12" sqref="A12"/>
      <selection pane="bottomRight" activeCell="C3" sqref="C3"/>
    </sheetView>
  </sheetViews>
  <sheetFormatPr defaultRowHeight="12.5" outlineLevelCol="1"/>
  <cols>
    <col min="1" max="1" width="15.81640625" customWidth="1"/>
    <col min="2" max="2" width="17.1796875" customWidth="1"/>
    <col min="3" max="3" width="15.81640625" customWidth="1"/>
    <col min="4" max="4" width="10.54296875" bestFit="1" customWidth="1"/>
    <col min="5" max="5" width="12.453125" bestFit="1" customWidth="1"/>
    <col min="6" max="6" width="9.81640625" customWidth="1"/>
    <col min="14" max="14" width="9.81640625" customWidth="1"/>
    <col min="20" max="23" width="0" hidden="1" customWidth="1" outlineLevel="1"/>
    <col min="24" max="24" width="11.54296875" hidden="1" customWidth="1" outlineLevel="1"/>
    <col min="25" max="25" width="0" hidden="1" customWidth="1" outlineLevel="1"/>
    <col min="26" max="26" width="9.81640625" hidden="1" customWidth="1" outlineLevel="1"/>
    <col min="27" max="29" width="0" hidden="1" customWidth="1" outlineLevel="1"/>
    <col min="30" max="30" width="10.453125" hidden="1" customWidth="1" outlineLevel="1"/>
    <col min="31" max="31" width="8.54296875" collapsed="1"/>
  </cols>
  <sheetData>
    <row r="1" spans="1:34" ht="14.5">
      <c r="A1" s="364" t="s">
        <v>456</v>
      </c>
      <c r="C1" s="385" t="s">
        <v>457</v>
      </c>
      <c r="D1" s="385" t="s">
        <v>458</v>
      </c>
      <c r="E1" s="386" t="s">
        <v>459</v>
      </c>
      <c r="F1" s="386" t="s">
        <v>460</v>
      </c>
      <c r="I1" s="385" t="s">
        <v>457</v>
      </c>
      <c r="J1" s="385" t="s">
        <v>458</v>
      </c>
      <c r="K1" s="386" t="s">
        <v>459</v>
      </c>
      <c r="L1" s="386" t="s">
        <v>460</v>
      </c>
      <c r="U1" s="385" t="s">
        <v>457</v>
      </c>
      <c r="V1" s="385" t="s">
        <v>458</v>
      </c>
      <c r="W1" s="386" t="s">
        <v>459</v>
      </c>
      <c r="X1" s="386" t="s">
        <v>460</v>
      </c>
    </row>
    <row r="2" spans="1:34" ht="65">
      <c r="A2" t="s">
        <v>442</v>
      </c>
      <c r="B2" s="387" t="s">
        <v>443</v>
      </c>
      <c r="C2" s="388" t="s">
        <v>444</v>
      </c>
      <c r="D2" s="388" t="s">
        <v>445</v>
      </c>
      <c r="E2" s="388" t="s">
        <v>446</v>
      </c>
      <c r="F2" s="388" t="s">
        <v>447</v>
      </c>
      <c r="H2" s="369" t="s">
        <v>448</v>
      </c>
      <c r="I2" s="370" t="s">
        <v>444</v>
      </c>
      <c r="J2" s="370" t="s">
        <v>445</v>
      </c>
      <c r="K2" s="370" t="s">
        <v>446</v>
      </c>
      <c r="L2" s="370" t="s">
        <v>447</v>
      </c>
      <c r="N2" s="371" t="s">
        <v>449</v>
      </c>
      <c r="O2" s="372" t="s">
        <v>444</v>
      </c>
      <c r="P2" s="372" t="s">
        <v>445</v>
      </c>
      <c r="Q2" s="372" t="s">
        <v>446</v>
      </c>
      <c r="R2" s="372" t="s">
        <v>447</v>
      </c>
      <c r="S2" s="368"/>
      <c r="T2" s="369" t="s">
        <v>450</v>
      </c>
      <c r="U2" s="370" t="s">
        <v>444</v>
      </c>
      <c r="V2" s="370" t="s">
        <v>445</v>
      </c>
      <c r="W2" s="370" t="s">
        <v>446</v>
      </c>
      <c r="X2" s="370" t="s">
        <v>447</v>
      </c>
      <c r="Z2" s="371" t="s">
        <v>451</v>
      </c>
      <c r="AA2" s="372" t="s">
        <v>444</v>
      </c>
      <c r="AB2" s="372" t="s">
        <v>445</v>
      </c>
      <c r="AC2" s="372" t="s">
        <v>446</v>
      </c>
      <c r="AD2" s="372" t="s">
        <v>447</v>
      </c>
    </row>
    <row r="3" spans="1:34" ht="14.5">
      <c r="A3" t="s">
        <v>1</v>
      </c>
      <c r="B3" s="374" t="s">
        <v>1</v>
      </c>
      <c r="C3" s="375">
        <v>5.1703274727200439</v>
      </c>
      <c r="D3" s="376">
        <v>0.15175215831648844</v>
      </c>
      <c r="E3" s="375">
        <v>0.2389797768763598</v>
      </c>
      <c r="F3" s="377">
        <v>3.1067370993926771</v>
      </c>
      <c r="H3" t="s">
        <v>1</v>
      </c>
      <c r="I3" s="376">
        <v>9.8000000000000007</v>
      </c>
      <c r="J3" s="376">
        <v>0.2</v>
      </c>
      <c r="K3" s="376">
        <v>3.3457168762690372</v>
      </c>
      <c r="L3" s="376" t="s">
        <v>452</v>
      </c>
      <c r="N3" t="s">
        <v>1</v>
      </c>
      <c r="O3" s="376">
        <f>IFERROR(C3-I3,"")</f>
        <v>-4.6296725272799568</v>
      </c>
      <c r="P3" s="376">
        <f t="shared" ref="P3:R9" si="0">IFERROR(D3-J3,"")</f>
        <v>-4.8247841683511566E-2</v>
      </c>
      <c r="Q3" s="376">
        <f t="shared" si="0"/>
        <v>-3.1067370993926775</v>
      </c>
      <c r="R3" s="376" t="str">
        <f t="shared" si="0"/>
        <v/>
      </c>
      <c r="T3" s="374" t="s">
        <v>1</v>
      </c>
      <c r="U3" s="375">
        <v>8.4</v>
      </c>
      <c r="V3" s="376">
        <v>0.1</v>
      </c>
      <c r="W3" s="375">
        <v>3.3457168762690372</v>
      </c>
      <c r="X3" s="376" t="s">
        <v>452</v>
      </c>
      <c r="Z3" s="366" t="s">
        <v>1</v>
      </c>
      <c r="AA3" s="376">
        <f>IFERROR(C3-U3, "")</f>
        <v>-3.2296725272799565</v>
      </c>
      <c r="AB3" s="376">
        <f>IFERROR(D3-V3, "")</f>
        <v>5.1752158316488439E-2</v>
      </c>
      <c r="AC3" s="376">
        <f>IFERROR(E3-W3, "")</f>
        <v>-3.1067370993926775</v>
      </c>
      <c r="AD3" s="376" t="str">
        <f>IFERROR(F3-X3, "")</f>
        <v/>
      </c>
      <c r="AG3" s="174"/>
      <c r="AH3" t="s">
        <v>461</v>
      </c>
    </row>
    <row r="4" spans="1:34" ht="14.5">
      <c r="A4" t="s">
        <v>2</v>
      </c>
      <c r="B4" s="374" t="s">
        <v>2</v>
      </c>
      <c r="C4" s="376">
        <v>0.73389539043169194</v>
      </c>
      <c r="D4" s="376">
        <v>0.24463179681056399</v>
      </c>
      <c r="E4" s="376" t="s">
        <v>452</v>
      </c>
      <c r="F4" s="376">
        <v>13.877294655435628</v>
      </c>
      <c r="H4" t="s">
        <v>2</v>
      </c>
      <c r="I4" s="376">
        <v>1.9</v>
      </c>
      <c r="J4" s="376">
        <v>0.4</v>
      </c>
      <c r="K4" s="376">
        <v>0.93404867873124431</v>
      </c>
      <c r="L4" s="376">
        <v>14.010730180968665</v>
      </c>
      <c r="N4" t="s">
        <v>2</v>
      </c>
      <c r="O4" s="376">
        <f t="shared" ref="O4:O9" si="1">IFERROR(C4-I4,"")</f>
        <v>-1.1661046095683081</v>
      </c>
      <c r="P4" s="376">
        <f t="shared" si="0"/>
        <v>-0.15536820318943603</v>
      </c>
      <c r="Q4" s="376" t="str">
        <f t="shared" si="0"/>
        <v/>
      </c>
      <c r="R4" s="376">
        <f t="shared" si="0"/>
        <v>-0.13343552553303617</v>
      </c>
      <c r="T4" s="366" t="s">
        <v>2</v>
      </c>
      <c r="U4" s="376">
        <v>0.5</v>
      </c>
      <c r="V4" s="376">
        <v>0.1</v>
      </c>
      <c r="W4" s="376" t="s">
        <v>452</v>
      </c>
      <c r="X4" s="376">
        <v>13.343552553303489</v>
      </c>
      <c r="Z4" s="366" t="s">
        <v>2</v>
      </c>
      <c r="AA4" s="376">
        <f t="shared" ref="AA4:AD19" si="2">IFERROR(C4-U4, "")</f>
        <v>0.23389539043169194</v>
      </c>
      <c r="AB4" s="376">
        <f t="shared" si="2"/>
        <v>0.14463179681056398</v>
      </c>
      <c r="AC4" s="376" t="str">
        <f t="shared" si="2"/>
        <v/>
      </c>
      <c r="AD4" s="376">
        <f t="shared" si="2"/>
        <v>0.53374210213213935</v>
      </c>
      <c r="AG4" s="378"/>
      <c r="AH4" t="s">
        <v>462</v>
      </c>
    </row>
    <row r="5" spans="1:34" ht="14.5">
      <c r="A5" t="s">
        <v>3</v>
      </c>
      <c r="B5" s="374" t="s">
        <v>3</v>
      </c>
      <c r="C5" s="376">
        <v>4.3976580875126769</v>
      </c>
      <c r="D5" s="376">
        <v>0.34443196209889498</v>
      </c>
      <c r="E5" s="375">
        <v>6.1505707517659829</v>
      </c>
      <c r="F5" s="375">
        <v>23.433674564228394</v>
      </c>
      <c r="H5" t="s">
        <v>3</v>
      </c>
      <c r="I5" s="376">
        <v>4.4000000000000004</v>
      </c>
      <c r="J5" s="376">
        <v>0.6</v>
      </c>
      <c r="K5" s="376">
        <v>24.602283007063932</v>
      </c>
      <c r="L5" s="376">
        <v>25.524868619828826</v>
      </c>
      <c r="N5" t="s">
        <v>3</v>
      </c>
      <c r="O5" s="376">
        <f t="shared" si="1"/>
        <v>-2.3419124873234054E-3</v>
      </c>
      <c r="P5" s="376">
        <f t="shared" si="0"/>
        <v>-0.25556803790110499</v>
      </c>
      <c r="Q5" s="376">
        <f t="shared" si="0"/>
        <v>-18.451712255297949</v>
      </c>
      <c r="R5" s="376">
        <f t="shared" si="0"/>
        <v>-2.0911940556004325</v>
      </c>
      <c r="T5" s="366" t="s">
        <v>3</v>
      </c>
      <c r="U5" s="376">
        <v>4.4000000000000004</v>
      </c>
      <c r="V5" s="376">
        <v>0.3</v>
      </c>
      <c r="W5" s="376">
        <v>18.451712255297949</v>
      </c>
      <c r="X5" s="376">
        <v>26.201431402523085</v>
      </c>
      <c r="Z5" s="366" t="s">
        <v>3</v>
      </c>
      <c r="AA5" s="376">
        <f t="shared" si="2"/>
        <v>-2.3419124873234054E-3</v>
      </c>
      <c r="AB5" s="376">
        <f t="shared" si="2"/>
        <v>4.4431962098894995E-2</v>
      </c>
      <c r="AC5" s="376">
        <f t="shared" si="2"/>
        <v>-12.301141503531966</v>
      </c>
      <c r="AD5" s="376">
        <f t="shared" si="2"/>
        <v>-2.7677568382946909</v>
      </c>
      <c r="AG5" s="380"/>
      <c r="AH5" t="s">
        <v>463</v>
      </c>
    </row>
    <row r="6" spans="1:34" ht="14.5">
      <c r="A6" t="s">
        <v>4</v>
      </c>
      <c r="B6" s="374" t="s">
        <v>4</v>
      </c>
      <c r="C6" s="376">
        <v>1.2234776984094524</v>
      </c>
      <c r="D6" s="376">
        <v>0.19575643174551241</v>
      </c>
      <c r="E6" s="376" t="s">
        <v>452</v>
      </c>
      <c r="F6" s="375">
        <v>32.422159007850489</v>
      </c>
      <c r="H6" t="s">
        <v>4</v>
      </c>
      <c r="I6" s="376">
        <v>1.3</v>
      </c>
      <c r="J6" s="376">
        <v>0.3</v>
      </c>
      <c r="K6" s="376" t="s">
        <v>452</v>
      </c>
      <c r="L6" s="376">
        <v>32.422159007850489</v>
      </c>
      <c r="N6" t="s">
        <v>4</v>
      </c>
      <c r="O6" s="376">
        <f t="shared" si="1"/>
        <v>-7.6522301590547626E-2</v>
      </c>
      <c r="P6" s="376">
        <f t="shared" si="0"/>
        <v>-0.10424356825448758</v>
      </c>
      <c r="Q6" s="376" t="str">
        <f t="shared" si="0"/>
        <v/>
      </c>
      <c r="R6" s="376">
        <f t="shared" si="0"/>
        <v>0</v>
      </c>
      <c r="T6" s="366" t="s">
        <v>4</v>
      </c>
      <c r="U6" s="376">
        <v>1.3</v>
      </c>
      <c r="V6" s="376">
        <v>0.3</v>
      </c>
      <c r="W6" s="376" t="s">
        <v>452</v>
      </c>
      <c r="X6" s="376">
        <v>18.352165476141785</v>
      </c>
      <c r="Z6" s="366" t="s">
        <v>4</v>
      </c>
      <c r="AA6" s="376">
        <f t="shared" si="2"/>
        <v>-7.6522301590547626E-2</v>
      </c>
      <c r="AB6" s="376">
        <f t="shared" si="2"/>
        <v>-0.10424356825448758</v>
      </c>
      <c r="AC6" s="376" t="str">
        <f t="shared" si="2"/>
        <v/>
      </c>
      <c r="AD6" s="376">
        <f t="shared" si="2"/>
        <v>14.069993531708704</v>
      </c>
    </row>
    <row r="7" spans="1:34">
      <c r="A7" t="s">
        <v>5</v>
      </c>
      <c r="B7" s="174" t="s">
        <v>5</v>
      </c>
      <c r="C7" s="375">
        <v>10.028873795515855</v>
      </c>
      <c r="D7" s="376">
        <v>0.24599124404095493</v>
      </c>
      <c r="E7" s="376">
        <v>10.066718602291388</v>
      </c>
      <c r="F7" s="376">
        <v>0.37844806775531531</v>
      </c>
      <c r="H7" t="s">
        <v>5</v>
      </c>
      <c r="I7" s="376">
        <v>12</v>
      </c>
      <c r="J7" s="376">
        <v>0.4</v>
      </c>
      <c r="K7" s="376">
        <v>10.028873795515855</v>
      </c>
      <c r="L7" s="376">
        <v>0.19111627421643423</v>
      </c>
      <c r="N7" t="s">
        <v>5</v>
      </c>
      <c r="O7" s="376">
        <f t="shared" si="1"/>
        <v>-1.9711262044841451</v>
      </c>
      <c r="P7" s="376">
        <f t="shared" si="0"/>
        <v>-0.15400875595904509</v>
      </c>
      <c r="Q7" s="376">
        <f t="shared" si="0"/>
        <v>3.7844806775533257E-2</v>
      </c>
      <c r="R7" s="376">
        <f t="shared" si="0"/>
        <v>0.18733179353888108</v>
      </c>
      <c r="T7" t="s">
        <v>5</v>
      </c>
      <c r="U7" s="376">
        <v>0.1</v>
      </c>
      <c r="V7" s="376">
        <v>0.01</v>
      </c>
      <c r="W7" s="376">
        <v>0.30275845420425224</v>
      </c>
      <c r="X7" s="376" t="s">
        <v>452</v>
      </c>
      <c r="Z7" t="s">
        <v>5</v>
      </c>
      <c r="AA7" s="376">
        <f t="shared" si="2"/>
        <v>9.9288737955158552</v>
      </c>
      <c r="AB7" s="376">
        <f t="shared" si="2"/>
        <v>0.23599124404095492</v>
      </c>
      <c r="AC7" s="376">
        <f t="shared" si="2"/>
        <v>9.7639601480871363</v>
      </c>
      <c r="AD7" s="376" t="str">
        <f t="shared" si="2"/>
        <v/>
      </c>
    </row>
    <row r="8" spans="1:34">
      <c r="A8" t="s">
        <v>7</v>
      </c>
      <c r="B8" s="174" t="s">
        <v>7</v>
      </c>
      <c r="C8" s="376">
        <v>3.0884455536713382</v>
      </c>
      <c r="D8" s="376">
        <v>0.23757273489779523</v>
      </c>
      <c r="E8" s="375">
        <v>15.679800503254485</v>
      </c>
      <c r="F8" s="376"/>
      <c r="H8" t="s">
        <v>7</v>
      </c>
      <c r="I8" s="376">
        <v>4</v>
      </c>
      <c r="J8" s="376">
        <v>0.7</v>
      </c>
      <c r="K8" s="376">
        <v>20.431492773945287</v>
      </c>
      <c r="L8" s="376" t="s">
        <v>452</v>
      </c>
      <c r="N8" t="s">
        <v>7</v>
      </c>
      <c r="O8" s="376">
        <f t="shared" si="1"/>
        <v>-0.91155444632866178</v>
      </c>
      <c r="P8" s="376">
        <f t="shared" si="0"/>
        <v>-0.46242726510220472</v>
      </c>
      <c r="Q8" s="376">
        <f t="shared" si="0"/>
        <v>-4.7516922706908016</v>
      </c>
      <c r="R8" s="376" t="str">
        <f t="shared" si="0"/>
        <v/>
      </c>
      <c r="T8" t="s">
        <v>7</v>
      </c>
      <c r="U8" s="376">
        <v>3</v>
      </c>
      <c r="V8" s="376">
        <v>0.2</v>
      </c>
      <c r="W8" s="376">
        <v>20.431492773945287</v>
      </c>
      <c r="X8" s="376" t="s">
        <v>452</v>
      </c>
      <c r="Z8" t="s">
        <v>7</v>
      </c>
      <c r="AA8" s="376">
        <f t="shared" si="2"/>
        <v>8.8445553671338217E-2</v>
      </c>
      <c r="AB8" s="376">
        <f t="shared" si="2"/>
        <v>3.7572734897795224E-2</v>
      </c>
      <c r="AC8" s="376">
        <f t="shared" si="2"/>
        <v>-4.7516922706908016</v>
      </c>
      <c r="AD8" s="376" t="str">
        <f t="shared" si="2"/>
        <v/>
      </c>
    </row>
    <row r="9" spans="1:34">
      <c r="A9" t="s">
        <v>8</v>
      </c>
      <c r="B9" s="174" t="s">
        <v>8</v>
      </c>
      <c r="C9" s="375">
        <v>6.8753122848324937</v>
      </c>
      <c r="D9" s="376">
        <v>0.69492403739167152</v>
      </c>
      <c r="E9" s="375">
        <v>1.9960584052739501</v>
      </c>
      <c r="F9" s="377">
        <v>2.2375568296157367</v>
      </c>
      <c r="H9" t="s">
        <v>8</v>
      </c>
      <c r="I9" s="376">
        <v>7.9</v>
      </c>
      <c r="J9" s="376">
        <v>1</v>
      </c>
      <c r="K9" s="376">
        <v>4.2336152348896867</v>
      </c>
      <c r="L9" s="376" t="s">
        <v>452</v>
      </c>
      <c r="N9" t="s">
        <v>8</v>
      </c>
      <c r="O9" s="376">
        <f t="shared" si="1"/>
        <v>-1.0246877151675067</v>
      </c>
      <c r="P9" s="376">
        <f t="shared" si="0"/>
        <v>-0.30507596260832848</v>
      </c>
      <c r="Q9" s="376">
        <f t="shared" si="0"/>
        <v>-2.2375568296157367</v>
      </c>
      <c r="R9" s="376" t="str">
        <f t="shared" si="0"/>
        <v/>
      </c>
      <c r="T9" t="s">
        <v>8</v>
      </c>
      <c r="U9" s="376">
        <v>6.9</v>
      </c>
      <c r="V9" s="376">
        <v>0.7</v>
      </c>
      <c r="W9" s="376">
        <v>4.2336152348896867</v>
      </c>
      <c r="X9" s="376" t="s">
        <v>452</v>
      </c>
      <c r="Z9" t="s">
        <v>8</v>
      </c>
      <c r="AA9" s="376">
        <f t="shared" si="2"/>
        <v>-2.4687715167506674E-2</v>
      </c>
      <c r="AB9" s="376">
        <f t="shared" si="2"/>
        <v>-5.0759626083284326E-3</v>
      </c>
      <c r="AC9" s="376">
        <f t="shared" si="2"/>
        <v>-2.2375568296157367</v>
      </c>
      <c r="AD9" s="376" t="str">
        <f t="shared" si="2"/>
        <v/>
      </c>
    </row>
    <row r="10" spans="1:34">
      <c r="C10" s="376"/>
      <c r="D10" s="376"/>
      <c r="E10" s="376"/>
      <c r="F10" s="376"/>
      <c r="I10" s="376"/>
      <c r="J10" s="376"/>
      <c r="K10" s="376"/>
      <c r="L10" s="376"/>
      <c r="O10" s="376"/>
      <c r="P10" s="376"/>
      <c r="Q10" s="376"/>
      <c r="R10" s="376"/>
      <c r="U10" s="376"/>
      <c r="V10" s="376"/>
      <c r="W10" s="376"/>
      <c r="X10" s="376"/>
    </row>
    <row r="11" spans="1:34">
      <c r="A11" t="s">
        <v>0</v>
      </c>
      <c r="B11" s="378" t="s">
        <v>0</v>
      </c>
      <c r="C11" s="376">
        <v>10.614075237679117</v>
      </c>
      <c r="D11" s="376">
        <v>0.19356976117347935</v>
      </c>
      <c r="E11" s="377">
        <v>0.80654067155616405</v>
      </c>
      <c r="F11" s="376">
        <v>1.0753875620748854</v>
      </c>
      <c r="H11" t="s">
        <v>0</v>
      </c>
      <c r="I11" s="376">
        <v>10.8</v>
      </c>
      <c r="J11" s="376">
        <v>0.3</v>
      </c>
      <c r="K11" s="376" t="s">
        <v>452</v>
      </c>
      <c r="L11" s="376">
        <v>1.8819282336310492</v>
      </c>
      <c r="N11" t="s">
        <v>0</v>
      </c>
      <c r="O11" s="376">
        <f t="shared" ref="O11:R26" si="3">IFERROR(C11-I11,"")</f>
        <v>-0.18592476232088373</v>
      </c>
      <c r="P11" s="376">
        <f t="shared" si="3"/>
        <v>-0.10643023882652064</v>
      </c>
      <c r="Q11" s="376" t="str">
        <f t="shared" si="3"/>
        <v/>
      </c>
      <c r="R11" s="376">
        <f t="shared" si="3"/>
        <v>-0.80654067155616382</v>
      </c>
      <c r="T11" t="s">
        <v>0</v>
      </c>
      <c r="U11" s="376">
        <v>10.199999999999999</v>
      </c>
      <c r="V11" s="376">
        <v>0.2</v>
      </c>
      <c r="W11" s="376" t="s">
        <v>452</v>
      </c>
      <c r="X11" s="376">
        <v>1.8819282336310492</v>
      </c>
      <c r="Z11" t="s">
        <v>0</v>
      </c>
      <c r="AA11" s="376">
        <f t="shared" si="2"/>
        <v>0.41407523767911769</v>
      </c>
      <c r="AB11" s="376">
        <f t="shared" si="2"/>
        <v>-6.4302388265206623E-3</v>
      </c>
      <c r="AC11" s="376" t="str">
        <f t="shared" si="2"/>
        <v/>
      </c>
      <c r="AD11" s="376">
        <f t="shared" si="2"/>
        <v>-0.80654067155616382</v>
      </c>
    </row>
    <row r="12" spans="1:34">
      <c r="A12" t="s">
        <v>453</v>
      </c>
      <c r="B12" s="378" t="s">
        <v>6</v>
      </c>
      <c r="C12" s="376">
        <v>1.5344101930878902</v>
      </c>
      <c r="D12" s="377">
        <v>0.13319532926110159</v>
      </c>
      <c r="E12" s="377">
        <v>6.3933758045328766</v>
      </c>
      <c r="F12" s="376"/>
      <c r="H12" t="s">
        <v>453</v>
      </c>
      <c r="I12" s="376">
        <v>2.1</v>
      </c>
      <c r="J12" s="376" t="s">
        <v>452</v>
      </c>
      <c r="K12" s="376">
        <v>2.1311252681776253E-6</v>
      </c>
      <c r="L12" s="376" t="s">
        <v>452</v>
      </c>
      <c r="N12" t="s">
        <v>453</v>
      </c>
      <c r="O12" s="376">
        <f t="shared" si="3"/>
        <v>-0.56558980691210992</v>
      </c>
      <c r="P12" s="376" t="str">
        <f t="shared" si="3"/>
        <v/>
      </c>
      <c r="Q12" s="376">
        <f t="shared" si="3"/>
        <v>6.3933736734076083</v>
      </c>
      <c r="R12" s="376" t="str">
        <f t="shared" si="3"/>
        <v/>
      </c>
      <c r="T12" t="s">
        <v>6</v>
      </c>
      <c r="U12" s="376">
        <v>1.4</v>
      </c>
      <c r="V12" s="376" t="s">
        <v>452</v>
      </c>
      <c r="W12" s="376" t="s">
        <v>452</v>
      </c>
      <c r="X12" s="376" t="s">
        <v>452</v>
      </c>
      <c r="Z12" t="s">
        <v>6</v>
      </c>
      <c r="AA12" s="376">
        <f t="shared" si="2"/>
        <v>0.13441019308789026</v>
      </c>
      <c r="AB12" s="376" t="str">
        <f t="shared" si="2"/>
        <v/>
      </c>
      <c r="AC12" s="376" t="str">
        <f t="shared" si="2"/>
        <v/>
      </c>
      <c r="AD12" s="376" t="str">
        <f t="shared" si="2"/>
        <v/>
      </c>
    </row>
    <row r="13" spans="1:34">
      <c r="A13" t="s">
        <v>9</v>
      </c>
      <c r="B13" s="378" t="s">
        <v>9</v>
      </c>
      <c r="C13" s="376">
        <v>1.1970937640177073</v>
      </c>
      <c r="D13" s="377">
        <v>0</v>
      </c>
      <c r="E13" s="377">
        <v>0</v>
      </c>
      <c r="F13" s="377">
        <v>1.1970937640177073</v>
      </c>
      <c r="H13" t="s">
        <v>9</v>
      </c>
      <c r="I13" s="376">
        <v>1.2</v>
      </c>
      <c r="J13" s="376" t="s">
        <v>452</v>
      </c>
      <c r="K13" s="376" t="s">
        <v>452</v>
      </c>
      <c r="L13" s="376" t="s">
        <v>452</v>
      </c>
      <c r="N13" t="s">
        <v>9</v>
      </c>
      <c r="O13" s="376">
        <f t="shared" si="3"/>
        <v>-2.9062359822926709E-3</v>
      </c>
      <c r="P13" s="376" t="str">
        <f t="shared" si="3"/>
        <v/>
      </c>
      <c r="Q13" s="376" t="str">
        <f t="shared" si="3"/>
        <v/>
      </c>
      <c r="R13" s="376" t="str">
        <f t="shared" si="3"/>
        <v/>
      </c>
      <c r="T13" t="s">
        <v>9</v>
      </c>
      <c r="U13" s="376">
        <v>1</v>
      </c>
      <c r="V13" s="376" t="s">
        <v>452</v>
      </c>
      <c r="W13" s="376" t="s">
        <v>452</v>
      </c>
      <c r="X13" s="376" t="s">
        <v>452</v>
      </c>
      <c r="Z13" t="s">
        <v>9</v>
      </c>
      <c r="AA13" s="376">
        <f t="shared" si="2"/>
        <v>0.19709376401770728</v>
      </c>
      <c r="AB13" s="376" t="str">
        <f t="shared" si="2"/>
        <v/>
      </c>
      <c r="AC13" s="376" t="str">
        <f t="shared" si="2"/>
        <v/>
      </c>
      <c r="AD13" s="376" t="str">
        <f t="shared" si="2"/>
        <v/>
      </c>
    </row>
    <row r="14" spans="1:34">
      <c r="A14" t="s">
        <v>10</v>
      </c>
      <c r="B14" s="378" t="s">
        <v>10</v>
      </c>
      <c r="C14" s="376">
        <v>2.8925069055619068</v>
      </c>
      <c r="D14" s="377">
        <v>0.28219579566457625</v>
      </c>
      <c r="E14" s="376">
        <v>3.6999999999999997</v>
      </c>
      <c r="F14" s="376">
        <v>0.47973285262977955</v>
      </c>
      <c r="H14" t="s">
        <v>10</v>
      </c>
      <c r="I14" s="376">
        <v>2.9</v>
      </c>
      <c r="J14" s="376" t="s">
        <v>452</v>
      </c>
      <c r="K14" s="376">
        <v>3.2396077342293355</v>
      </c>
      <c r="L14" s="376">
        <v>0.4797328526297796</v>
      </c>
      <c r="N14" t="s">
        <v>10</v>
      </c>
      <c r="O14" s="376">
        <f t="shared" si="3"/>
        <v>-7.4930944380930953E-3</v>
      </c>
      <c r="P14" s="376" t="str">
        <f t="shared" si="3"/>
        <v/>
      </c>
      <c r="Q14" s="376">
        <f t="shared" si="3"/>
        <v>0.46039226577066428</v>
      </c>
      <c r="R14" s="376">
        <f t="shared" si="3"/>
        <v>-5.5511151231257827E-17</v>
      </c>
      <c r="T14" t="s">
        <v>10</v>
      </c>
      <c r="U14" s="376">
        <v>2.8</v>
      </c>
      <c r="V14" s="376" t="s">
        <v>452</v>
      </c>
      <c r="W14" s="376">
        <v>3.2396077342293355</v>
      </c>
      <c r="X14" s="376">
        <v>0.4797328526297796</v>
      </c>
      <c r="Z14" t="s">
        <v>10</v>
      </c>
      <c r="AA14" s="376">
        <f t="shared" si="2"/>
        <v>9.2506905561906994E-2</v>
      </c>
      <c r="AB14" s="376" t="str">
        <f t="shared" si="2"/>
        <v/>
      </c>
      <c r="AC14" s="376">
        <f t="shared" si="2"/>
        <v>0.46039226577066428</v>
      </c>
      <c r="AD14" s="376">
        <f t="shared" si="2"/>
        <v>-5.5511151231257827E-17</v>
      </c>
    </row>
    <row r="15" spans="1:34">
      <c r="A15" t="s">
        <v>454</v>
      </c>
      <c r="B15" t="s">
        <v>11</v>
      </c>
      <c r="C15" s="376">
        <v>2.4932150776650226</v>
      </c>
      <c r="D15" s="376">
        <v>0.10713033536841894</v>
      </c>
      <c r="E15" s="376">
        <v>0</v>
      </c>
      <c r="F15" s="376" t="s">
        <v>452</v>
      </c>
      <c r="H15" t="s">
        <v>454</v>
      </c>
      <c r="I15" s="376">
        <v>2.5</v>
      </c>
      <c r="J15" s="376">
        <v>0.1</v>
      </c>
      <c r="K15" s="376">
        <v>5.8775597631673483E-2</v>
      </c>
      <c r="L15" s="376">
        <v>0.38956485588515977</v>
      </c>
      <c r="N15" t="s">
        <v>454</v>
      </c>
      <c r="O15" s="376">
        <f t="shared" si="3"/>
        <v>-6.7849223349774057E-3</v>
      </c>
      <c r="P15" s="376">
        <f t="shared" si="3"/>
        <v>7.1303353684189358E-3</v>
      </c>
      <c r="Q15" s="376">
        <f t="shared" si="3"/>
        <v>-5.8775597631673483E-2</v>
      </c>
      <c r="R15" s="376" t="str">
        <f t="shared" si="3"/>
        <v/>
      </c>
      <c r="T15" t="s">
        <v>11</v>
      </c>
      <c r="U15" s="376">
        <v>2.4</v>
      </c>
      <c r="V15" s="376">
        <v>0.1</v>
      </c>
      <c r="W15" s="376">
        <v>5.8775597631673483E-2</v>
      </c>
      <c r="X15" s="376" t="s">
        <v>452</v>
      </c>
      <c r="Z15" t="s">
        <v>11</v>
      </c>
      <c r="AA15" s="376">
        <f t="shared" si="2"/>
        <v>9.3215077665022683E-2</v>
      </c>
      <c r="AB15" s="376">
        <f t="shared" si="2"/>
        <v>7.1303353684189358E-3</v>
      </c>
      <c r="AC15" s="376">
        <f t="shared" si="2"/>
        <v>-5.8775597631673483E-2</v>
      </c>
      <c r="AD15" s="376" t="str">
        <f t="shared" si="2"/>
        <v/>
      </c>
    </row>
    <row r="16" spans="1:34">
      <c r="A16" t="s">
        <v>12</v>
      </c>
      <c r="B16" t="s">
        <v>12</v>
      </c>
      <c r="C16" s="376">
        <v>0.72556574584184574</v>
      </c>
      <c r="D16" s="376">
        <v>6.9321568074061687E-2</v>
      </c>
      <c r="E16" s="376" t="s">
        <v>452</v>
      </c>
      <c r="F16" s="376" t="s">
        <v>452</v>
      </c>
      <c r="H16" t="s">
        <v>12</v>
      </c>
      <c r="I16" s="376">
        <v>1.1000000000000001</v>
      </c>
      <c r="J16" s="376">
        <v>0.1</v>
      </c>
      <c r="K16" s="376" t="s">
        <v>452</v>
      </c>
      <c r="L16" s="376" t="s">
        <v>452</v>
      </c>
      <c r="N16" t="s">
        <v>12</v>
      </c>
      <c r="O16" s="376">
        <f t="shared" si="3"/>
        <v>-0.37443425415815434</v>
      </c>
      <c r="P16" s="376">
        <f t="shared" si="3"/>
        <v>-3.0678431925938318E-2</v>
      </c>
      <c r="Q16" s="376" t="str">
        <f t="shared" si="3"/>
        <v/>
      </c>
      <c r="R16" s="376" t="str">
        <f t="shared" si="3"/>
        <v/>
      </c>
      <c r="T16" t="s">
        <v>12</v>
      </c>
      <c r="U16" s="376">
        <v>0.9</v>
      </c>
      <c r="V16" s="376">
        <v>0.1</v>
      </c>
      <c r="W16" s="376" t="s">
        <v>452</v>
      </c>
      <c r="X16" s="376" t="s">
        <v>452</v>
      </c>
      <c r="Z16" t="s">
        <v>12</v>
      </c>
      <c r="AA16" s="376">
        <f t="shared" si="2"/>
        <v>-0.17443425415815428</v>
      </c>
      <c r="AB16" s="376">
        <f t="shared" si="2"/>
        <v>-3.0678431925938318E-2</v>
      </c>
      <c r="AC16" s="376" t="str">
        <f t="shared" si="2"/>
        <v/>
      </c>
      <c r="AD16" s="376" t="str">
        <f t="shared" si="2"/>
        <v/>
      </c>
    </row>
    <row r="17" spans="1:30">
      <c r="A17" t="s">
        <v>13</v>
      </c>
      <c r="B17" t="s">
        <v>13</v>
      </c>
      <c r="C17" s="376">
        <v>1.7654965803765208</v>
      </c>
      <c r="D17" s="376">
        <v>0.46428283774607476</v>
      </c>
      <c r="E17" s="376"/>
      <c r="F17" s="376">
        <v>0.91634770607777905</v>
      </c>
      <c r="H17" t="s">
        <v>13</v>
      </c>
      <c r="I17" s="376">
        <v>1.8</v>
      </c>
      <c r="J17" s="376">
        <v>0.5</v>
      </c>
      <c r="K17" s="376">
        <v>0.91634770607777905</v>
      </c>
      <c r="L17" s="376" t="s">
        <v>452</v>
      </c>
      <c r="N17" t="s">
        <v>13</v>
      </c>
      <c r="O17" s="376">
        <f t="shared" si="3"/>
        <v>-3.4503419623479248E-2</v>
      </c>
      <c r="P17" s="376">
        <f t="shared" si="3"/>
        <v>-3.5717162253925239E-2</v>
      </c>
      <c r="Q17" s="376">
        <f t="shared" si="3"/>
        <v>-0.91634770607777905</v>
      </c>
      <c r="R17" s="376" t="str">
        <f t="shared" si="3"/>
        <v/>
      </c>
      <c r="T17" t="s">
        <v>13</v>
      </c>
      <c r="U17" s="376">
        <v>1.8</v>
      </c>
      <c r="V17" s="376">
        <v>0.5</v>
      </c>
      <c r="W17" s="376">
        <v>0.91634770607777905</v>
      </c>
      <c r="X17" s="376" t="s">
        <v>452</v>
      </c>
      <c r="Z17" t="s">
        <v>13</v>
      </c>
      <c r="AA17" s="376">
        <f t="shared" si="2"/>
        <v>-3.4503419623479248E-2</v>
      </c>
      <c r="AB17" s="376">
        <f t="shared" si="2"/>
        <v>-3.5717162253925239E-2</v>
      </c>
      <c r="AC17" s="376">
        <f t="shared" si="2"/>
        <v>-0.91634770607777905</v>
      </c>
      <c r="AD17" s="376" t="str">
        <f t="shared" si="2"/>
        <v/>
      </c>
    </row>
    <row r="18" spans="1:30">
      <c r="A18" t="s">
        <v>14</v>
      </c>
      <c r="B18" t="s">
        <v>14</v>
      </c>
      <c r="C18" s="376">
        <v>0.76612654001318703</v>
      </c>
      <c r="D18" s="376">
        <v>0.76612654001318703</v>
      </c>
      <c r="E18" s="376">
        <v>0.31921939167216123</v>
      </c>
      <c r="F18" s="376" t="s">
        <v>452</v>
      </c>
      <c r="H18" t="s">
        <v>14</v>
      </c>
      <c r="I18" s="376">
        <v>0.7</v>
      </c>
      <c r="J18" s="376">
        <v>0.7</v>
      </c>
      <c r="K18" s="376">
        <v>0.10640646389072042</v>
      </c>
      <c r="L18" s="376" t="s">
        <v>452</v>
      </c>
      <c r="N18" t="s">
        <v>14</v>
      </c>
      <c r="O18" s="376">
        <f t="shared" si="3"/>
        <v>6.6126540013187074E-2</v>
      </c>
      <c r="P18" s="376">
        <f t="shared" si="3"/>
        <v>6.6126540013187074E-2</v>
      </c>
      <c r="Q18" s="376">
        <f t="shared" si="3"/>
        <v>0.21281292778144081</v>
      </c>
      <c r="R18" s="376" t="str">
        <f t="shared" si="3"/>
        <v/>
      </c>
      <c r="T18" t="s">
        <v>14</v>
      </c>
      <c r="U18" s="376" t="s">
        <v>452</v>
      </c>
      <c r="V18" s="376" t="s">
        <v>452</v>
      </c>
      <c r="W18" s="376">
        <v>0.10640646389072042</v>
      </c>
      <c r="X18" s="376" t="s">
        <v>452</v>
      </c>
      <c r="Z18" t="s">
        <v>14</v>
      </c>
      <c r="AA18" s="376" t="str">
        <f t="shared" si="2"/>
        <v/>
      </c>
      <c r="AB18" s="376" t="str">
        <f t="shared" si="2"/>
        <v/>
      </c>
      <c r="AC18" s="376">
        <f t="shared" si="2"/>
        <v>0.21281292778144081</v>
      </c>
      <c r="AD18" s="376" t="str">
        <f t="shared" si="2"/>
        <v/>
      </c>
    </row>
    <row r="19" spans="1:30">
      <c r="A19" t="s">
        <v>455</v>
      </c>
      <c r="B19" s="174" t="s">
        <v>15</v>
      </c>
      <c r="C19" s="375">
        <v>0.87793918665669735</v>
      </c>
      <c r="D19" s="376">
        <v>7.6478258037650099E-2</v>
      </c>
      <c r="E19" s="376">
        <v>0.55602815154924168</v>
      </c>
      <c r="F19" s="376">
        <v>0</v>
      </c>
      <c r="H19" t="s">
        <v>455</v>
      </c>
      <c r="I19" s="376">
        <v>1.9</v>
      </c>
      <c r="J19" s="376">
        <v>0.1</v>
      </c>
      <c r="K19" s="376">
        <v>0.85355198702734469</v>
      </c>
      <c r="L19" s="376">
        <v>0.90720382621192075</v>
      </c>
      <c r="N19" t="s">
        <v>455</v>
      </c>
      <c r="O19" s="376">
        <f t="shared" si="3"/>
        <v>-1.0220608133433027</v>
      </c>
      <c r="P19" s="376">
        <f t="shared" si="3"/>
        <v>-2.3521741962349907E-2</v>
      </c>
      <c r="Q19" s="376">
        <f t="shared" si="3"/>
        <v>-0.29752383547810302</v>
      </c>
      <c r="R19" s="376">
        <f t="shared" si="3"/>
        <v>-0.90720382621192075</v>
      </c>
      <c r="T19" t="s">
        <v>15</v>
      </c>
      <c r="U19" s="376">
        <v>1.5</v>
      </c>
      <c r="V19" s="376" t="s">
        <v>452</v>
      </c>
      <c r="W19" s="376">
        <v>0.63406719036317027</v>
      </c>
      <c r="X19" s="376">
        <v>0.48774399258705414</v>
      </c>
      <c r="Z19" t="s">
        <v>15</v>
      </c>
      <c r="AA19" s="376">
        <f t="shared" si="2"/>
        <v>-0.62206081334330265</v>
      </c>
      <c r="AB19" s="376" t="str">
        <f t="shared" si="2"/>
        <v/>
      </c>
      <c r="AC19" s="376">
        <f t="shared" si="2"/>
        <v>-7.8039038813928596E-2</v>
      </c>
      <c r="AD19" s="376">
        <f t="shared" si="2"/>
        <v>-0.48774399258705414</v>
      </c>
    </row>
    <row r="20" spans="1:30">
      <c r="A20" t="s">
        <v>16</v>
      </c>
      <c r="B20" s="379" t="s">
        <v>16</v>
      </c>
      <c r="C20" s="380">
        <v>0</v>
      </c>
      <c r="D20" s="376">
        <v>0</v>
      </c>
      <c r="E20" s="376">
        <v>1.2367725473058317</v>
      </c>
      <c r="F20" s="376" t="s">
        <v>452</v>
      </c>
      <c r="H20" t="s">
        <v>16</v>
      </c>
      <c r="I20" s="376">
        <v>3.1</v>
      </c>
      <c r="J20" s="376" t="s">
        <v>452</v>
      </c>
      <c r="K20" s="376">
        <v>2.1144820970067451</v>
      </c>
      <c r="L20" s="376" t="s">
        <v>452</v>
      </c>
      <c r="N20" t="s">
        <v>16</v>
      </c>
      <c r="O20" s="376">
        <f t="shared" si="3"/>
        <v>-3.1</v>
      </c>
      <c r="P20" s="376" t="str">
        <f t="shared" si="3"/>
        <v/>
      </c>
      <c r="Q20" s="376">
        <f t="shared" si="3"/>
        <v>-0.87770954970091331</v>
      </c>
      <c r="R20" s="376" t="str">
        <f t="shared" si="3"/>
        <v/>
      </c>
      <c r="T20" t="s">
        <v>16</v>
      </c>
      <c r="U20" s="375">
        <v>2.7</v>
      </c>
      <c r="V20" s="376" t="s">
        <v>452</v>
      </c>
      <c r="W20" s="376">
        <v>1.7565043743651638</v>
      </c>
      <c r="X20" s="376" t="s">
        <v>452</v>
      </c>
      <c r="Z20" t="s">
        <v>16</v>
      </c>
      <c r="AA20" s="376">
        <f t="shared" ref="AA20:AD35" si="4">IFERROR(C20-U20, "")</f>
        <v>-2.7</v>
      </c>
      <c r="AB20" s="376" t="str">
        <f t="shared" si="4"/>
        <v/>
      </c>
      <c r="AC20" s="376">
        <f t="shared" si="4"/>
        <v>-0.51973182705933207</v>
      </c>
      <c r="AD20" s="376" t="str">
        <f t="shared" si="4"/>
        <v/>
      </c>
    </row>
    <row r="21" spans="1:30">
      <c r="A21" t="s">
        <v>17</v>
      </c>
      <c r="B21" s="379" t="s">
        <v>17</v>
      </c>
      <c r="C21" s="380">
        <v>0</v>
      </c>
      <c r="D21" s="376">
        <v>0</v>
      </c>
      <c r="E21" s="376">
        <v>0.61575870309289837</v>
      </c>
      <c r="F21" s="376" t="s">
        <v>452</v>
      </c>
      <c r="H21" t="s">
        <v>17</v>
      </c>
      <c r="I21" s="376">
        <v>10</v>
      </c>
      <c r="J21" s="376">
        <v>0.4</v>
      </c>
      <c r="K21" s="376">
        <v>3.0584041544349265E-3</v>
      </c>
      <c r="L21" s="376" t="s">
        <v>452</v>
      </c>
      <c r="N21" t="s">
        <v>17</v>
      </c>
      <c r="O21" s="376">
        <f t="shared" si="3"/>
        <v>-10</v>
      </c>
      <c r="P21" s="376">
        <f t="shared" si="3"/>
        <v>-0.4</v>
      </c>
      <c r="Q21" s="376">
        <f t="shared" si="3"/>
        <v>0.61270029893846345</v>
      </c>
      <c r="R21" s="376" t="str">
        <f t="shared" si="3"/>
        <v/>
      </c>
      <c r="T21" t="s">
        <v>17</v>
      </c>
      <c r="U21" s="376" t="s">
        <v>452</v>
      </c>
      <c r="V21" s="376" t="s">
        <v>452</v>
      </c>
      <c r="W21" s="376">
        <v>3.0584041544349265E-3</v>
      </c>
      <c r="X21" s="376" t="s">
        <v>452</v>
      </c>
      <c r="Z21" t="s">
        <v>17</v>
      </c>
      <c r="AA21" s="376" t="str">
        <f t="shared" si="4"/>
        <v/>
      </c>
      <c r="AB21" s="376" t="str">
        <f t="shared" si="4"/>
        <v/>
      </c>
      <c r="AC21" s="376">
        <f t="shared" si="4"/>
        <v>0.61270029893846345</v>
      </c>
      <c r="AD21" s="376" t="str">
        <f t="shared" si="4"/>
        <v/>
      </c>
    </row>
    <row r="22" spans="1:30">
      <c r="A22" t="s">
        <v>18</v>
      </c>
      <c r="B22" s="378" t="s">
        <v>18</v>
      </c>
      <c r="C22" s="376">
        <v>1.6174138778722653</v>
      </c>
      <c r="D22" s="376">
        <v>0</v>
      </c>
      <c r="E22" s="376"/>
      <c r="F22" s="377">
        <v>0.53913795929075525</v>
      </c>
      <c r="H22" t="s">
        <v>18</v>
      </c>
      <c r="I22" s="376">
        <v>2</v>
      </c>
      <c r="J22" s="376" t="s">
        <v>452</v>
      </c>
      <c r="K22" s="376" t="s">
        <v>452</v>
      </c>
      <c r="L22" s="376" t="s">
        <v>452</v>
      </c>
      <c r="N22" t="s">
        <v>18</v>
      </c>
      <c r="O22" s="376">
        <f t="shared" si="3"/>
        <v>-0.38258612212773468</v>
      </c>
      <c r="P22" s="376" t="str">
        <f t="shared" si="3"/>
        <v/>
      </c>
      <c r="Q22" s="376" t="str">
        <f t="shared" si="3"/>
        <v/>
      </c>
      <c r="R22" s="376" t="str">
        <f t="shared" si="3"/>
        <v/>
      </c>
      <c r="T22" t="s">
        <v>18</v>
      </c>
      <c r="U22" s="376" t="s">
        <v>452</v>
      </c>
      <c r="V22" s="376" t="s">
        <v>452</v>
      </c>
      <c r="W22" s="376" t="s">
        <v>452</v>
      </c>
      <c r="X22" s="376" t="s">
        <v>452</v>
      </c>
      <c r="Z22" t="s">
        <v>18</v>
      </c>
      <c r="AA22" s="376" t="str">
        <f t="shared" si="4"/>
        <v/>
      </c>
      <c r="AB22" s="376" t="str">
        <f t="shared" si="4"/>
        <v/>
      </c>
      <c r="AC22" s="376" t="str">
        <f t="shared" si="4"/>
        <v/>
      </c>
      <c r="AD22" s="376" t="str">
        <f t="shared" si="4"/>
        <v/>
      </c>
    </row>
    <row r="23" spans="1:30">
      <c r="I23" s="376"/>
      <c r="J23" s="376"/>
      <c r="K23" s="376"/>
      <c r="L23" s="376"/>
      <c r="O23" s="376"/>
      <c r="P23" s="376"/>
      <c r="Q23" s="376"/>
      <c r="R23" s="376"/>
      <c r="U23" s="376"/>
      <c r="V23" s="376"/>
      <c r="W23" s="376"/>
      <c r="X23" s="376"/>
    </row>
    <row r="24" spans="1:30">
      <c r="A24" t="s">
        <v>32</v>
      </c>
      <c r="B24" s="378" t="s">
        <v>32</v>
      </c>
      <c r="C24" s="376">
        <v>1.2236667313062286</v>
      </c>
      <c r="D24" s="376">
        <v>0.34087858943530652</v>
      </c>
      <c r="E24" s="377">
        <v>0.87404766521873467</v>
      </c>
      <c r="F24" s="376">
        <v>8.915286185231091</v>
      </c>
      <c r="H24" t="s">
        <v>32</v>
      </c>
      <c r="I24" s="376">
        <v>1.6</v>
      </c>
      <c r="J24" s="376">
        <v>0.3</v>
      </c>
      <c r="K24" s="376" t="s">
        <v>452</v>
      </c>
      <c r="L24" s="376">
        <v>8.9152861852310927</v>
      </c>
      <c r="N24" t="s">
        <v>32</v>
      </c>
      <c r="O24" s="376">
        <f t="shared" si="3"/>
        <v>-0.37633326869377148</v>
      </c>
      <c r="P24" s="376">
        <f t="shared" si="3"/>
        <v>4.0878589435306534E-2</v>
      </c>
      <c r="Q24" s="376" t="str">
        <f t="shared" si="3"/>
        <v/>
      </c>
      <c r="R24" s="376">
        <f t="shared" si="3"/>
        <v>-1.7763568394002505E-15</v>
      </c>
      <c r="T24" t="s">
        <v>32</v>
      </c>
      <c r="U24" s="376">
        <v>1.1000000000000001</v>
      </c>
      <c r="V24" s="376">
        <v>0.3</v>
      </c>
      <c r="W24" s="376" t="s">
        <v>452</v>
      </c>
      <c r="X24" s="376">
        <v>8.9152861852310927</v>
      </c>
      <c r="Z24" t="s">
        <v>32</v>
      </c>
      <c r="AA24" s="376">
        <f t="shared" si="4"/>
        <v>0.12366673130622852</v>
      </c>
      <c r="AB24" s="376">
        <f t="shared" si="4"/>
        <v>4.0878589435306534E-2</v>
      </c>
      <c r="AC24" s="376" t="str">
        <f t="shared" si="4"/>
        <v/>
      </c>
      <c r="AD24" s="376">
        <f t="shared" si="4"/>
        <v>-1.7763568394002505E-15</v>
      </c>
    </row>
    <row r="25" spans="1:30">
      <c r="A25" t="s">
        <v>19</v>
      </c>
      <c r="B25" s="174" t="s">
        <v>19</v>
      </c>
      <c r="C25" s="375">
        <v>2.7368459133826675</v>
      </c>
      <c r="E25" s="380"/>
      <c r="F25" s="375">
        <v>2.9649164061645568</v>
      </c>
      <c r="H25" t="s">
        <v>19</v>
      </c>
      <c r="I25" s="376">
        <v>4.0999999999999996</v>
      </c>
      <c r="J25" s="376" t="s">
        <v>452</v>
      </c>
      <c r="K25" s="376">
        <v>1.8017568929769228</v>
      </c>
      <c r="L25" s="376">
        <v>4.6343924133279835</v>
      </c>
      <c r="N25" t="s">
        <v>19</v>
      </c>
      <c r="O25" s="376">
        <f t="shared" si="3"/>
        <v>-1.3631540866173322</v>
      </c>
      <c r="P25" s="376" t="str">
        <f t="shared" si="3"/>
        <v/>
      </c>
      <c r="Q25" s="376">
        <f t="shared" si="3"/>
        <v>-1.8017568929769228</v>
      </c>
      <c r="R25" s="376">
        <f t="shared" si="3"/>
        <v>-1.6694760071634267</v>
      </c>
      <c r="T25" t="s">
        <v>19</v>
      </c>
      <c r="U25" s="376">
        <v>2.5</v>
      </c>
      <c r="V25" s="376" t="s">
        <v>452</v>
      </c>
      <c r="W25" s="376">
        <v>6.8421147834566695E-2</v>
      </c>
      <c r="X25" s="376">
        <v>2.9877234554427456</v>
      </c>
      <c r="Z25" t="s">
        <v>19</v>
      </c>
      <c r="AA25" s="376">
        <f t="shared" si="4"/>
        <v>0.23684591338266747</v>
      </c>
      <c r="AB25" s="376" t="str">
        <f t="shared" si="4"/>
        <v/>
      </c>
      <c r="AC25" s="376">
        <f t="shared" si="4"/>
        <v>-6.8421147834566695E-2</v>
      </c>
      <c r="AD25" s="376">
        <f t="shared" si="4"/>
        <v>-2.2807049278188885E-2</v>
      </c>
    </row>
    <row r="26" spans="1:30">
      <c r="A26" t="s">
        <v>21</v>
      </c>
      <c r="B26" t="s">
        <v>21</v>
      </c>
      <c r="C26" s="376">
        <v>2.1807774635286687</v>
      </c>
      <c r="E26" s="376"/>
      <c r="F26" s="376">
        <v>4.9755602323226906</v>
      </c>
      <c r="H26" t="s">
        <v>21</v>
      </c>
      <c r="I26" s="376">
        <v>2.6</v>
      </c>
      <c r="J26" s="376" t="s">
        <v>452</v>
      </c>
      <c r="K26" s="376" t="s">
        <v>452</v>
      </c>
      <c r="L26" s="376">
        <v>4.9755602323226906</v>
      </c>
      <c r="N26" t="s">
        <v>21</v>
      </c>
      <c r="O26" s="376">
        <f t="shared" si="3"/>
        <v>-0.41922253647133134</v>
      </c>
      <c r="P26" s="376" t="str">
        <f t="shared" si="3"/>
        <v/>
      </c>
      <c r="Q26" s="376" t="str">
        <f t="shared" si="3"/>
        <v/>
      </c>
      <c r="R26" s="376">
        <f t="shared" si="3"/>
        <v>0</v>
      </c>
      <c r="T26" t="s">
        <v>21</v>
      </c>
      <c r="U26" s="376">
        <v>1.9</v>
      </c>
      <c r="V26" s="376" t="s">
        <v>452</v>
      </c>
      <c r="W26" s="376" t="s">
        <v>452</v>
      </c>
      <c r="X26" s="376">
        <v>4.8696972486562506</v>
      </c>
      <c r="Z26" t="s">
        <v>21</v>
      </c>
      <c r="AA26" s="376">
        <f t="shared" si="4"/>
        <v>0.28077746352866884</v>
      </c>
      <c r="AB26" s="376" t="str">
        <f t="shared" si="4"/>
        <v/>
      </c>
      <c r="AC26" s="376" t="str">
        <f t="shared" si="4"/>
        <v/>
      </c>
      <c r="AD26" s="376">
        <f t="shared" si="4"/>
        <v>0.10586298366643998</v>
      </c>
    </row>
    <row r="27" spans="1:30">
      <c r="A27" t="s">
        <v>42</v>
      </c>
      <c r="B27" s="378" t="s">
        <v>42</v>
      </c>
      <c r="C27" s="377">
        <v>1.9014766819675528</v>
      </c>
      <c r="E27" s="376">
        <v>0.98876787462312754</v>
      </c>
      <c r="F27" s="376"/>
      <c r="H27" t="s">
        <v>42</v>
      </c>
      <c r="I27" s="376" t="s">
        <v>452</v>
      </c>
      <c r="J27" s="376">
        <v>0.7</v>
      </c>
      <c r="K27" s="376" t="s">
        <v>452</v>
      </c>
      <c r="L27" s="376" t="s">
        <v>452</v>
      </c>
      <c r="N27" t="s">
        <v>42</v>
      </c>
      <c r="O27" s="376" t="str">
        <f t="shared" ref="O27:R44" si="5">IFERROR(C27-I27,"")</f>
        <v/>
      </c>
      <c r="P27" s="376">
        <f t="shared" si="5"/>
        <v>-0.7</v>
      </c>
      <c r="Q27" s="376" t="str">
        <f t="shared" si="5"/>
        <v/>
      </c>
      <c r="R27" s="376" t="str">
        <f t="shared" si="5"/>
        <v/>
      </c>
      <c r="T27" t="s">
        <v>42</v>
      </c>
      <c r="U27" s="376" t="s">
        <v>452</v>
      </c>
      <c r="V27" s="376">
        <v>0.5</v>
      </c>
      <c r="W27" s="376" t="s">
        <v>452</v>
      </c>
      <c r="X27" s="376" t="s">
        <v>452</v>
      </c>
      <c r="Z27" t="s">
        <v>42</v>
      </c>
      <c r="AA27" s="376" t="str">
        <f t="shared" si="4"/>
        <v/>
      </c>
      <c r="AB27" s="376">
        <f t="shared" si="4"/>
        <v>-0.5</v>
      </c>
      <c r="AC27" s="376" t="str">
        <f t="shared" si="4"/>
        <v/>
      </c>
      <c r="AD27" s="376" t="str">
        <f t="shared" si="4"/>
        <v/>
      </c>
    </row>
    <row r="28" spans="1:30">
      <c r="A28" t="s">
        <v>22</v>
      </c>
      <c r="B28" s="174" t="s">
        <v>22</v>
      </c>
      <c r="C28" s="375">
        <v>3.03828336253626</v>
      </c>
      <c r="E28" s="380"/>
      <c r="F28" s="376">
        <v>3.03828336253626</v>
      </c>
      <c r="H28" t="s">
        <v>22</v>
      </c>
      <c r="I28" s="376">
        <v>4.0999999999999996</v>
      </c>
      <c r="J28" s="376">
        <v>0.38</v>
      </c>
      <c r="K28" s="376">
        <v>7.8191115947624343</v>
      </c>
      <c r="L28" s="376" t="s">
        <v>452</v>
      </c>
      <c r="N28" t="s">
        <v>22</v>
      </c>
      <c r="O28" s="376">
        <f t="shared" si="5"/>
        <v>-1.0617166374637397</v>
      </c>
      <c r="P28" s="376">
        <f t="shared" si="5"/>
        <v>-0.38</v>
      </c>
      <c r="Q28" s="376">
        <f t="shared" si="5"/>
        <v>-7.8191115947624343</v>
      </c>
      <c r="R28" s="376" t="str">
        <f t="shared" si="5"/>
        <v/>
      </c>
      <c r="T28" t="s">
        <v>22</v>
      </c>
      <c r="U28" s="376">
        <v>2.9</v>
      </c>
      <c r="V28" s="376">
        <v>0.3</v>
      </c>
      <c r="W28" s="376">
        <v>3.03828336253626</v>
      </c>
      <c r="X28" s="376" t="s">
        <v>452</v>
      </c>
      <c r="Z28" t="s">
        <v>22</v>
      </c>
      <c r="AA28" s="376">
        <f t="shared" si="4"/>
        <v>0.13828336253626006</v>
      </c>
      <c r="AB28" s="376">
        <f t="shared" si="4"/>
        <v>-0.3</v>
      </c>
      <c r="AC28" s="376">
        <f t="shared" si="4"/>
        <v>-3.03828336253626</v>
      </c>
      <c r="AD28" s="376" t="str">
        <f t="shared" si="4"/>
        <v/>
      </c>
    </row>
    <row r="29" spans="1:30">
      <c r="A29" t="s">
        <v>56</v>
      </c>
      <c r="B29" t="s">
        <v>56</v>
      </c>
      <c r="C29" s="376">
        <v>2.1040198467953437</v>
      </c>
      <c r="E29" s="376"/>
      <c r="F29" s="376"/>
      <c r="H29" t="s">
        <v>56</v>
      </c>
      <c r="I29" s="376">
        <v>2</v>
      </c>
      <c r="J29" s="376" t="s">
        <v>452</v>
      </c>
      <c r="K29" s="376" t="s">
        <v>452</v>
      </c>
      <c r="L29" s="376" t="s">
        <v>452</v>
      </c>
      <c r="N29" t="s">
        <v>56</v>
      </c>
      <c r="O29" s="376">
        <f t="shared" si="5"/>
        <v>0.10401984679534371</v>
      </c>
      <c r="P29" s="376" t="str">
        <f t="shared" si="5"/>
        <v/>
      </c>
      <c r="Q29" s="376" t="str">
        <f t="shared" si="5"/>
        <v/>
      </c>
      <c r="R29" s="376" t="str">
        <f t="shared" si="5"/>
        <v/>
      </c>
      <c r="T29" t="s">
        <v>56</v>
      </c>
      <c r="U29" s="376">
        <v>1.97</v>
      </c>
      <c r="V29" s="376" t="s">
        <v>452</v>
      </c>
      <c r="W29" s="376" t="s">
        <v>452</v>
      </c>
      <c r="X29" s="376" t="s">
        <v>452</v>
      </c>
      <c r="Z29" t="s">
        <v>56</v>
      </c>
      <c r="AA29" s="376">
        <f t="shared" si="4"/>
        <v>0.13401984679534373</v>
      </c>
      <c r="AB29" s="376" t="str">
        <f t="shared" si="4"/>
        <v/>
      </c>
      <c r="AC29" s="376" t="str">
        <f t="shared" si="4"/>
        <v/>
      </c>
      <c r="AD29" s="376" t="str">
        <f t="shared" si="4"/>
        <v/>
      </c>
    </row>
    <row r="30" spans="1:30">
      <c r="A30" t="s">
        <v>23</v>
      </c>
      <c r="B30" s="174" t="s">
        <v>23</v>
      </c>
      <c r="C30" s="376">
        <v>1.7530327466517077</v>
      </c>
      <c r="E30" s="380"/>
      <c r="F30" s="376"/>
      <c r="H30" t="s">
        <v>23</v>
      </c>
      <c r="I30" s="376" t="s">
        <v>452</v>
      </c>
      <c r="J30" s="376" t="s">
        <v>452</v>
      </c>
      <c r="K30" s="376">
        <v>1.753035669196771</v>
      </c>
      <c r="L30" s="376" t="s">
        <v>452</v>
      </c>
      <c r="N30" t="s">
        <v>23</v>
      </c>
      <c r="O30" s="376" t="str">
        <f t="shared" si="5"/>
        <v/>
      </c>
      <c r="P30" s="376" t="str">
        <f t="shared" si="5"/>
        <v/>
      </c>
      <c r="Q30" s="376">
        <f t="shared" si="5"/>
        <v>-1.753035669196771</v>
      </c>
      <c r="R30" s="376" t="str">
        <f t="shared" si="5"/>
        <v/>
      </c>
      <c r="T30" t="s">
        <v>23</v>
      </c>
      <c r="U30" s="376">
        <v>2</v>
      </c>
      <c r="V30" s="376">
        <v>0.08</v>
      </c>
      <c r="W30" s="376">
        <v>0.35060713383935416</v>
      </c>
      <c r="X30" s="376" t="s">
        <v>452</v>
      </c>
      <c r="Z30" t="s">
        <v>23</v>
      </c>
      <c r="AA30" s="376">
        <f t="shared" si="4"/>
        <v>-0.24696725334829228</v>
      </c>
      <c r="AB30" s="376">
        <f t="shared" si="4"/>
        <v>-0.08</v>
      </c>
      <c r="AC30" s="376">
        <f t="shared" si="4"/>
        <v>-0.35060713383935416</v>
      </c>
      <c r="AD30" s="376" t="str">
        <f t="shared" si="4"/>
        <v/>
      </c>
    </row>
    <row r="31" spans="1:30">
      <c r="A31" t="s">
        <v>35</v>
      </c>
      <c r="B31" s="378" t="s">
        <v>35</v>
      </c>
      <c r="C31" s="377">
        <v>2.1294739194976855</v>
      </c>
      <c r="E31" s="375">
        <v>2.8900003193182875</v>
      </c>
      <c r="F31" s="376"/>
      <c r="H31" t="s">
        <v>35</v>
      </c>
      <c r="I31" s="376" t="s">
        <v>452</v>
      </c>
      <c r="J31" s="376" t="s">
        <v>452</v>
      </c>
      <c r="K31" s="376">
        <v>0.91263167978472248</v>
      </c>
      <c r="L31" s="376" t="s">
        <v>452</v>
      </c>
      <c r="N31" t="s">
        <v>35</v>
      </c>
      <c r="O31" s="376" t="str">
        <f t="shared" si="5"/>
        <v/>
      </c>
      <c r="P31" s="376" t="str">
        <f t="shared" si="5"/>
        <v/>
      </c>
      <c r="Q31" s="376">
        <f t="shared" si="5"/>
        <v>1.977368639533565</v>
      </c>
      <c r="R31" s="376" t="str">
        <f t="shared" si="5"/>
        <v/>
      </c>
      <c r="T31" t="s">
        <v>35</v>
      </c>
      <c r="U31" s="376" t="s">
        <v>452</v>
      </c>
      <c r="V31" s="376" t="s">
        <v>452</v>
      </c>
      <c r="W31" s="376">
        <v>0.91263167978472248</v>
      </c>
      <c r="X31" s="376" t="s">
        <v>452</v>
      </c>
      <c r="Z31" t="s">
        <v>35</v>
      </c>
      <c r="AA31" s="376" t="str">
        <f t="shared" si="4"/>
        <v/>
      </c>
      <c r="AB31" s="376" t="str">
        <f t="shared" si="4"/>
        <v/>
      </c>
      <c r="AC31" s="376">
        <f t="shared" si="4"/>
        <v>1.977368639533565</v>
      </c>
      <c r="AD31" s="376" t="str">
        <f t="shared" si="4"/>
        <v/>
      </c>
    </row>
    <row r="32" spans="1:30">
      <c r="A32" t="s">
        <v>55</v>
      </c>
      <c r="B32" s="378" t="s">
        <v>55</v>
      </c>
      <c r="C32" s="377">
        <v>2.6578986463405436</v>
      </c>
      <c r="E32" s="376"/>
      <c r="F32" s="376"/>
      <c r="H32" t="s">
        <v>55</v>
      </c>
      <c r="I32" s="376" t="s">
        <v>452</v>
      </c>
      <c r="J32" s="376" t="s">
        <v>452</v>
      </c>
      <c r="K32" s="376" t="s">
        <v>452</v>
      </c>
      <c r="L32" s="376" t="s">
        <v>452</v>
      </c>
      <c r="N32" t="s">
        <v>55</v>
      </c>
      <c r="O32" s="376" t="str">
        <f t="shared" si="5"/>
        <v/>
      </c>
      <c r="P32" s="376" t="str">
        <f t="shared" si="5"/>
        <v/>
      </c>
      <c r="Q32" s="376" t="str">
        <f t="shared" si="5"/>
        <v/>
      </c>
      <c r="R32" s="376" t="str">
        <f t="shared" si="5"/>
        <v/>
      </c>
      <c r="T32" t="s">
        <v>55</v>
      </c>
      <c r="U32" s="376" t="s">
        <v>452</v>
      </c>
      <c r="V32" s="376" t="s">
        <v>452</v>
      </c>
      <c r="W32" s="376" t="s">
        <v>452</v>
      </c>
      <c r="X32" s="376" t="s">
        <v>452</v>
      </c>
      <c r="Z32" t="s">
        <v>55</v>
      </c>
      <c r="AA32" s="376" t="str">
        <f t="shared" si="4"/>
        <v/>
      </c>
      <c r="AB32" s="376" t="str">
        <f t="shared" si="4"/>
        <v/>
      </c>
      <c r="AC32" s="376" t="str">
        <f t="shared" si="4"/>
        <v/>
      </c>
      <c r="AD32" s="376" t="str">
        <f t="shared" si="4"/>
        <v/>
      </c>
    </row>
    <row r="33" spans="1:30">
      <c r="A33" t="s">
        <v>20</v>
      </c>
      <c r="B33" s="174" t="s">
        <v>20</v>
      </c>
      <c r="C33" s="375">
        <v>1.7141139892191823</v>
      </c>
      <c r="E33" s="375">
        <v>0.43951640749209803</v>
      </c>
      <c r="F33" s="375">
        <v>4.6588739194162381</v>
      </c>
      <c r="H33" t="s">
        <v>20</v>
      </c>
      <c r="I33" s="376">
        <v>2.5099999999999998</v>
      </c>
      <c r="J33" s="376">
        <v>0.65</v>
      </c>
      <c r="K33" s="376">
        <v>2.1536303967112804</v>
      </c>
      <c r="L33" s="376">
        <v>10.548393779810352</v>
      </c>
      <c r="N33" t="s">
        <v>20</v>
      </c>
      <c r="O33" s="376">
        <f t="shared" si="5"/>
        <v>-0.79588601078081744</v>
      </c>
      <c r="P33" s="376">
        <f t="shared" si="5"/>
        <v>-0.65</v>
      </c>
      <c r="Q33" s="376">
        <f t="shared" si="5"/>
        <v>-1.7141139892191823</v>
      </c>
      <c r="R33" s="376">
        <f t="shared" si="5"/>
        <v>-5.8895198603941141</v>
      </c>
      <c r="T33" s="174" t="s">
        <v>20</v>
      </c>
      <c r="U33" s="375">
        <v>0.7</v>
      </c>
      <c r="V33" s="376">
        <v>0.1</v>
      </c>
      <c r="W33" s="375">
        <v>2.0877029355874654</v>
      </c>
      <c r="X33" s="376">
        <v>4.3951640749209799</v>
      </c>
      <c r="Z33" t="s">
        <v>20</v>
      </c>
      <c r="AA33" s="376">
        <f t="shared" si="4"/>
        <v>1.0141139892191824</v>
      </c>
      <c r="AB33" s="376">
        <f t="shared" si="4"/>
        <v>-0.1</v>
      </c>
      <c r="AC33" s="376">
        <f t="shared" si="4"/>
        <v>-1.6481865280953674</v>
      </c>
      <c r="AD33" s="376">
        <f t="shared" si="4"/>
        <v>0.26370984449525814</v>
      </c>
    </row>
    <row r="34" spans="1:30">
      <c r="A34" t="s">
        <v>36</v>
      </c>
      <c r="B34" s="174" t="s">
        <v>36</v>
      </c>
      <c r="C34" s="376">
        <v>2.6351907768322809</v>
      </c>
      <c r="E34" s="375">
        <v>1.7156189953335164</v>
      </c>
      <c r="F34" s="376">
        <v>1.7156189953335164</v>
      </c>
      <c r="H34" t="s">
        <v>36</v>
      </c>
      <c r="I34" s="376">
        <v>4.5999999999999996</v>
      </c>
      <c r="J34" s="376" t="s">
        <v>452</v>
      </c>
      <c r="K34" s="376">
        <v>4.6216350679320044</v>
      </c>
      <c r="L34" s="376">
        <v>1.5405450226440016</v>
      </c>
      <c r="N34" t="s">
        <v>36</v>
      </c>
      <c r="O34" s="376">
        <f t="shared" si="5"/>
        <v>-1.9648092231677188</v>
      </c>
      <c r="P34" s="376" t="str">
        <f t="shared" si="5"/>
        <v/>
      </c>
      <c r="Q34" s="376">
        <f t="shared" si="5"/>
        <v>-2.9060160725984883</v>
      </c>
      <c r="R34" s="376">
        <f t="shared" si="5"/>
        <v>0.17507397268951475</v>
      </c>
      <c r="T34" t="s">
        <v>36</v>
      </c>
      <c r="U34" s="376" t="s">
        <v>452</v>
      </c>
      <c r="V34" s="376" t="s">
        <v>452</v>
      </c>
      <c r="W34" s="375">
        <v>3.0810900452880032</v>
      </c>
      <c r="X34" s="376" t="s">
        <v>452</v>
      </c>
      <c r="Z34" t="s">
        <v>36</v>
      </c>
      <c r="AA34" s="376" t="str">
        <f t="shared" si="4"/>
        <v/>
      </c>
      <c r="AB34" s="376" t="str">
        <f t="shared" si="4"/>
        <v/>
      </c>
      <c r="AC34" s="376">
        <f t="shared" si="4"/>
        <v>-1.3654710499544869</v>
      </c>
      <c r="AD34" s="376" t="str">
        <f t="shared" si="4"/>
        <v/>
      </c>
    </row>
    <row r="35" spans="1:30">
      <c r="A35" t="s">
        <v>31</v>
      </c>
      <c r="B35" s="174" t="s">
        <v>31</v>
      </c>
      <c r="C35" s="375">
        <v>7.0326376245730877</v>
      </c>
      <c r="E35" s="376">
        <v>4.0887428049843537</v>
      </c>
      <c r="F35" s="376"/>
      <c r="H35" t="s">
        <v>31</v>
      </c>
      <c r="I35" s="376">
        <v>8.9</v>
      </c>
      <c r="J35" s="376">
        <v>0.16</v>
      </c>
      <c r="K35" s="376">
        <v>4.0887428049843537</v>
      </c>
      <c r="L35" s="376" t="s">
        <v>452</v>
      </c>
      <c r="N35" t="s">
        <v>31</v>
      </c>
      <c r="O35" s="376">
        <f t="shared" si="5"/>
        <v>-1.8673623754269126</v>
      </c>
      <c r="P35" s="376">
        <f t="shared" si="5"/>
        <v>-0.16</v>
      </c>
      <c r="Q35" s="376">
        <f t="shared" si="5"/>
        <v>0</v>
      </c>
      <c r="R35" s="376" t="str">
        <f t="shared" si="5"/>
        <v/>
      </c>
      <c r="T35" t="s">
        <v>31</v>
      </c>
      <c r="U35" s="376">
        <v>6.81</v>
      </c>
      <c r="V35" s="376">
        <v>0.16</v>
      </c>
      <c r="W35" s="376">
        <v>4.0887428049843537</v>
      </c>
      <c r="X35" s="376" t="s">
        <v>452</v>
      </c>
      <c r="Z35" t="s">
        <v>31</v>
      </c>
      <c r="AA35" s="376">
        <f t="shared" si="4"/>
        <v>0.22263762457308811</v>
      </c>
      <c r="AB35" s="376">
        <f t="shared" si="4"/>
        <v>-0.16</v>
      </c>
      <c r="AC35" s="376">
        <f t="shared" si="4"/>
        <v>0</v>
      </c>
      <c r="AD35" s="376" t="str">
        <f t="shared" si="4"/>
        <v/>
      </c>
    </row>
    <row r="36" spans="1:30">
      <c r="A36" t="s">
        <v>41</v>
      </c>
      <c r="B36" t="s">
        <v>41</v>
      </c>
      <c r="C36" s="376">
        <v>0.73384169705973645</v>
      </c>
      <c r="E36" s="376"/>
      <c r="F36" s="376">
        <v>0.67268822230475833</v>
      </c>
      <c r="H36" t="s">
        <v>41</v>
      </c>
      <c r="I36" s="376">
        <v>1.1599999999999999</v>
      </c>
      <c r="J36" s="376">
        <v>0.18</v>
      </c>
      <c r="K36" s="376" t="s">
        <v>452</v>
      </c>
      <c r="L36" s="376">
        <v>1.5899903436294289</v>
      </c>
      <c r="N36" t="s">
        <v>41</v>
      </c>
      <c r="O36" s="376">
        <f t="shared" si="5"/>
        <v>-0.42615830294026347</v>
      </c>
      <c r="P36" s="376">
        <f t="shared" si="5"/>
        <v>-0.18</v>
      </c>
      <c r="Q36" s="376" t="str">
        <f t="shared" si="5"/>
        <v/>
      </c>
      <c r="R36" s="376">
        <f t="shared" si="5"/>
        <v>-0.91730212132467059</v>
      </c>
      <c r="T36" t="s">
        <v>41</v>
      </c>
      <c r="U36" s="376">
        <v>0.73</v>
      </c>
      <c r="V36" s="376">
        <v>0.18</v>
      </c>
      <c r="W36" s="376" t="s">
        <v>452</v>
      </c>
      <c r="X36" s="376">
        <v>0.67268822230475833</v>
      </c>
      <c r="Z36" t="s">
        <v>41</v>
      </c>
      <c r="AA36" s="376">
        <f t="shared" ref="AA36:AD44" si="6">IFERROR(C36-U36, "")</f>
        <v>3.8416970597364708E-3</v>
      </c>
      <c r="AB36" s="376">
        <f t="shared" si="6"/>
        <v>-0.18</v>
      </c>
      <c r="AC36" s="376" t="str">
        <f t="shared" si="6"/>
        <v/>
      </c>
      <c r="AD36" s="376">
        <f t="shared" si="6"/>
        <v>0</v>
      </c>
    </row>
    <row r="37" spans="1:30">
      <c r="A37" t="s">
        <v>27</v>
      </c>
      <c r="B37" s="378" t="s">
        <v>27</v>
      </c>
      <c r="C37" s="377">
        <v>1.6292263126102078</v>
      </c>
      <c r="E37" s="376">
        <v>0.60341715281859554</v>
      </c>
      <c r="F37" s="376"/>
      <c r="H37" t="s">
        <v>27</v>
      </c>
      <c r="I37" s="376" t="s">
        <v>452</v>
      </c>
      <c r="J37" s="376" t="s">
        <v>452</v>
      </c>
      <c r="K37" s="376">
        <v>0.62410574091523308</v>
      </c>
      <c r="L37" s="376" t="s">
        <v>452</v>
      </c>
      <c r="N37" t="s">
        <v>27</v>
      </c>
      <c r="O37" s="376" t="str">
        <f t="shared" si="5"/>
        <v/>
      </c>
      <c r="P37" s="376" t="str">
        <f t="shared" si="5"/>
        <v/>
      </c>
      <c r="Q37" s="376">
        <f t="shared" si="5"/>
        <v>-2.0688588096637539E-2</v>
      </c>
      <c r="R37" s="376" t="str">
        <f t="shared" si="5"/>
        <v/>
      </c>
      <c r="T37" t="s">
        <v>27</v>
      </c>
      <c r="U37" s="376" t="s">
        <v>452</v>
      </c>
      <c r="V37" s="376" t="s">
        <v>452</v>
      </c>
      <c r="W37" s="376">
        <v>0.60341715281859554</v>
      </c>
      <c r="X37" s="376" t="s">
        <v>452</v>
      </c>
      <c r="Z37" t="s">
        <v>27</v>
      </c>
      <c r="AA37" s="376" t="str">
        <f t="shared" si="6"/>
        <v/>
      </c>
      <c r="AB37" s="376" t="str">
        <f t="shared" si="6"/>
        <v/>
      </c>
      <c r="AC37" s="376">
        <f t="shared" si="6"/>
        <v>0</v>
      </c>
      <c r="AD37" s="376" t="str">
        <f t="shared" si="6"/>
        <v/>
      </c>
    </row>
    <row r="38" spans="1:30">
      <c r="A38" t="s">
        <v>34</v>
      </c>
      <c r="B38" s="174" t="s">
        <v>34</v>
      </c>
      <c r="C38" s="376"/>
      <c r="E38" s="375">
        <v>2.9601851430277104E-2</v>
      </c>
      <c r="F38" s="376"/>
      <c r="H38" t="s">
        <v>34</v>
      </c>
      <c r="I38" s="376" t="s">
        <v>452</v>
      </c>
      <c r="J38" s="376">
        <v>0.02</v>
      </c>
      <c r="K38" s="376">
        <v>2.7013968373643662</v>
      </c>
      <c r="L38" s="376" t="s">
        <v>452</v>
      </c>
      <c r="N38" t="s">
        <v>34</v>
      </c>
      <c r="O38" s="376" t="str">
        <f t="shared" si="5"/>
        <v/>
      </c>
      <c r="P38" s="376">
        <f t="shared" si="5"/>
        <v>-0.02</v>
      </c>
      <c r="Q38" s="376">
        <f t="shared" si="5"/>
        <v>-2.6717949859340893</v>
      </c>
      <c r="R38" s="376" t="str">
        <f t="shared" si="5"/>
        <v/>
      </c>
      <c r="T38" t="s">
        <v>34</v>
      </c>
      <c r="U38" s="376" t="s">
        <v>452</v>
      </c>
      <c r="V38" s="376">
        <v>0.02</v>
      </c>
      <c r="W38" s="376">
        <v>1.3690856286503162E-3</v>
      </c>
      <c r="X38" s="376" t="s">
        <v>452</v>
      </c>
      <c r="Z38" t="s">
        <v>34</v>
      </c>
      <c r="AA38" s="376" t="str">
        <f t="shared" si="6"/>
        <v/>
      </c>
      <c r="AB38" s="376">
        <f t="shared" si="6"/>
        <v>-0.02</v>
      </c>
      <c r="AC38" s="376">
        <f t="shared" si="6"/>
        <v>2.8232765801626789E-2</v>
      </c>
      <c r="AD38" s="376" t="str">
        <f t="shared" si="6"/>
        <v/>
      </c>
    </row>
    <row r="39" spans="1:30">
      <c r="A39" t="s">
        <v>92</v>
      </c>
      <c r="B39" s="174" t="s">
        <v>92</v>
      </c>
      <c r="C39" s="375">
        <v>0.22179996069855459</v>
      </c>
      <c r="E39" s="376">
        <v>0.58474535093255298</v>
      </c>
      <c r="F39" s="376"/>
      <c r="H39" t="s">
        <v>92</v>
      </c>
      <c r="I39" s="376">
        <v>1.7</v>
      </c>
      <c r="J39" s="376">
        <v>0.04</v>
      </c>
      <c r="K39" s="376" t="s">
        <v>452</v>
      </c>
      <c r="L39" s="376" t="s">
        <v>452</v>
      </c>
      <c r="N39" t="s">
        <v>92</v>
      </c>
      <c r="O39" s="376">
        <f t="shared" si="5"/>
        <v>-1.4782000393014454</v>
      </c>
      <c r="P39" s="376">
        <f t="shared" si="5"/>
        <v>-0.04</v>
      </c>
      <c r="Q39" s="376" t="str">
        <f t="shared" si="5"/>
        <v/>
      </c>
      <c r="R39" s="376" t="str">
        <f t="shared" si="5"/>
        <v/>
      </c>
      <c r="T39" t="s">
        <v>92</v>
      </c>
      <c r="U39" s="376">
        <v>0.84</v>
      </c>
      <c r="V39" s="376">
        <v>0.04</v>
      </c>
      <c r="W39" s="376" t="s">
        <v>452</v>
      </c>
      <c r="X39" s="376" t="s">
        <v>452</v>
      </c>
      <c r="Z39" t="s">
        <v>92</v>
      </c>
      <c r="AA39" s="376">
        <f t="shared" si="6"/>
        <v>-0.6182000393014454</v>
      </c>
      <c r="AB39" s="376">
        <f t="shared" si="6"/>
        <v>-0.04</v>
      </c>
      <c r="AC39" s="376" t="str">
        <f t="shared" si="6"/>
        <v/>
      </c>
      <c r="AD39" s="376" t="str">
        <f t="shared" si="6"/>
        <v/>
      </c>
    </row>
    <row r="40" spans="1:30">
      <c r="A40" t="s">
        <v>30</v>
      </c>
      <c r="B40" t="s">
        <v>30</v>
      </c>
      <c r="C40" s="376">
        <v>1.7916590845668503</v>
      </c>
      <c r="E40" s="376">
        <v>0.93690660422227523</v>
      </c>
      <c r="F40" s="376">
        <v>0.43699002062606113</v>
      </c>
      <c r="H40" t="s">
        <v>30</v>
      </c>
      <c r="I40" s="376">
        <v>1.79</v>
      </c>
      <c r="J40" s="376">
        <v>0.28000000000000003</v>
      </c>
      <c r="K40" s="376">
        <v>1.3738966248483362</v>
      </c>
      <c r="L40" s="376">
        <v>0.43699002062606113</v>
      </c>
      <c r="N40" t="s">
        <v>30</v>
      </c>
      <c r="O40" s="376">
        <f t="shared" si="5"/>
        <v>1.6590845668502663E-3</v>
      </c>
      <c r="P40" s="376">
        <f t="shared" si="5"/>
        <v>-0.28000000000000003</v>
      </c>
      <c r="Q40" s="376">
        <f t="shared" si="5"/>
        <v>-0.43699002062606096</v>
      </c>
      <c r="R40" s="376">
        <f t="shared" si="5"/>
        <v>0</v>
      </c>
      <c r="T40" t="s">
        <v>30</v>
      </c>
      <c r="U40" s="376">
        <v>1.79</v>
      </c>
      <c r="V40" s="376">
        <v>0.28000000000000003</v>
      </c>
      <c r="W40" s="376">
        <v>1.3738966248483362</v>
      </c>
      <c r="X40" s="376">
        <v>0.43699002062606113</v>
      </c>
      <c r="Z40" t="s">
        <v>30</v>
      </c>
      <c r="AA40" s="376">
        <f t="shared" si="6"/>
        <v>1.6590845668502663E-3</v>
      </c>
      <c r="AB40" s="376">
        <f t="shared" si="6"/>
        <v>-0.28000000000000003</v>
      </c>
      <c r="AC40" s="376">
        <f t="shared" si="6"/>
        <v>-0.43699002062606096</v>
      </c>
      <c r="AD40" s="376">
        <f t="shared" si="6"/>
        <v>0</v>
      </c>
    </row>
    <row r="41" spans="1:30">
      <c r="A41" t="s">
        <v>37</v>
      </c>
      <c r="B41" t="s">
        <v>37</v>
      </c>
      <c r="C41" s="376">
        <v>0.18369491742322905</v>
      </c>
      <c r="E41" s="376">
        <v>0.17024552124488324</v>
      </c>
      <c r="F41" s="376"/>
      <c r="H41" t="s">
        <v>37</v>
      </c>
      <c r="I41" s="376">
        <v>0.91</v>
      </c>
      <c r="J41" s="376">
        <v>0.01</v>
      </c>
      <c r="K41" s="376">
        <v>0.17024552124488324</v>
      </c>
      <c r="L41" s="376" t="s">
        <v>452</v>
      </c>
      <c r="N41" t="s">
        <v>37</v>
      </c>
      <c r="O41" s="376">
        <f t="shared" si="5"/>
        <v>-0.72630508257677096</v>
      </c>
      <c r="P41" s="376">
        <f t="shared" si="5"/>
        <v>-0.01</v>
      </c>
      <c r="Q41" s="376">
        <f t="shared" si="5"/>
        <v>0</v>
      </c>
      <c r="R41" s="376" t="str">
        <f t="shared" si="5"/>
        <v/>
      </c>
      <c r="T41" t="s">
        <v>37</v>
      </c>
      <c r="U41" s="376">
        <v>0.2</v>
      </c>
      <c r="V41" s="376">
        <v>0.01</v>
      </c>
      <c r="W41" s="376">
        <v>0.17024552124488324</v>
      </c>
      <c r="X41" s="376" t="s">
        <v>452</v>
      </c>
      <c r="Z41" t="s">
        <v>37</v>
      </c>
      <c r="AA41" s="376">
        <f t="shared" si="6"/>
        <v>-1.6305082576770963E-2</v>
      </c>
      <c r="AB41" s="376">
        <f t="shared" si="6"/>
        <v>-0.01</v>
      </c>
      <c r="AC41" s="376">
        <f t="shared" si="6"/>
        <v>0</v>
      </c>
      <c r="AD41" s="376" t="str">
        <f t="shared" si="6"/>
        <v/>
      </c>
    </row>
    <row r="42" spans="1:30">
      <c r="A42" t="s">
        <v>38</v>
      </c>
      <c r="B42" s="174" t="s">
        <v>38</v>
      </c>
      <c r="C42" s="376">
        <v>0.9359379770605617</v>
      </c>
      <c r="E42" s="380"/>
      <c r="F42" s="376"/>
      <c r="H42" t="s">
        <v>38</v>
      </c>
      <c r="I42" s="376">
        <v>0.6</v>
      </c>
      <c r="J42" s="376">
        <v>0.5</v>
      </c>
      <c r="K42" s="376">
        <v>4.8733322253843037</v>
      </c>
      <c r="L42" s="376" t="s">
        <v>452</v>
      </c>
      <c r="N42" t="s">
        <v>38</v>
      </c>
      <c r="O42" s="376">
        <f t="shared" si="5"/>
        <v>0.33593797706056172</v>
      </c>
      <c r="P42" s="376">
        <f t="shared" si="5"/>
        <v>-0.5</v>
      </c>
      <c r="Q42" s="376">
        <f t="shared" si="5"/>
        <v>-4.8733322253843037</v>
      </c>
      <c r="R42" s="376" t="str">
        <f t="shared" si="5"/>
        <v/>
      </c>
      <c r="T42" t="s">
        <v>38</v>
      </c>
      <c r="U42" s="376">
        <v>0.6</v>
      </c>
      <c r="V42" s="376">
        <v>0.4</v>
      </c>
      <c r="W42" s="376">
        <v>4.8733322253843037</v>
      </c>
      <c r="X42" s="376" t="s">
        <v>452</v>
      </c>
      <c r="Z42" t="s">
        <v>38</v>
      </c>
      <c r="AA42" s="376">
        <f t="shared" si="6"/>
        <v>0.33593797706056172</v>
      </c>
      <c r="AB42" s="376">
        <f t="shared" si="6"/>
        <v>-0.4</v>
      </c>
      <c r="AC42" s="376">
        <f t="shared" si="6"/>
        <v>-4.8733322253843037</v>
      </c>
      <c r="AD42" s="376" t="str">
        <f t="shared" si="6"/>
        <v/>
      </c>
    </row>
    <row r="43" spans="1:30">
      <c r="A43" t="s">
        <v>93</v>
      </c>
      <c r="B43" s="174" t="s">
        <v>93</v>
      </c>
      <c r="C43" s="375">
        <v>5.2423846360272854</v>
      </c>
      <c r="E43" s="376"/>
      <c r="F43" s="376"/>
      <c r="H43" t="s">
        <v>93</v>
      </c>
      <c r="I43" s="376">
        <v>7</v>
      </c>
      <c r="J43" s="376">
        <v>0.5</v>
      </c>
      <c r="K43" s="376" t="s">
        <v>452</v>
      </c>
      <c r="L43" s="376" t="s">
        <v>452</v>
      </c>
      <c r="N43" t="s">
        <v>93</v>
      </c>
      <c r="O43" s="376">
        <f t="shared" si="5"/>
        <v>-1.7576153639727146</v>
      </c>
      <c r="P43" s="376">
        <f t="shared" si="5"/>
        <v>-0.5</v>
      </c>
      <c r="Q43" s="376" t="str">
        <f t="shared" si="5"/>
        <v/>
      </c>
      <c r="R43" s="376" t="str">
        <f t="shared" si="5"/>
        <v/>
      </c>
      <c r="T43" s="174" t="s">
        <v>93</v>
      </c>
      <c r="U43" s="375">
        <v>3</v>
      </c>
      <c r="V43" s="376">
        <v>0.5</v>
      </c>
      <c r="W43" s="376" t="s">
        <v>452</v>
      </c>
      <c r="X43" s="376" t="s">
        <v>452</v>
      </c>
      <c r="Z43" t="s">
        <v>93</v>
      </c>
      <c r="AA43" s="376">
        <f t="shared" si="6"/>
        <v>2.2423846360272854</v>
      </c>
      <c r="AB43" s="376">
        <f t="shared" si="6"/>
        <v>-0.5</v>
      </c>
      <c r="AC43" s="376" t="str">
        <f t="shared" si="6"/>
        <v/>
      </c>
      <c r="AD43" s="376" t="str">
        <f t="shared" si="6"/>
        <v/>
      </c>
    </row>
    <row r="44" spans="1:30">
      <c r="A44" t="s">
        <v>33</v>
      </c>
      <c r="B44" s="381" t="s">
        <v>33</v>
      </c>
      <c r="C44" s="382">
        <v>1.2132154633944243</v>
      </c>
      <c r="D44" s="383"/>
      <c r="E44" s="384"/>
      <c r="F44" s="384"/>
      <c r="H44" t="s">
        <v>33</v>
      </c>
      <c r="I44" s="376">
        <v>3.5</v>
      </c>
      <c r="J44" s="376">
        <v>0.2</v>
      </c>
      <c r="K44" s="376" t="s">
        <v>452</v>
      </c>
      <c r="L44" s="376" t="s">
        <v>452</v>
      </c>
      <c r="N44" t="s">
        <v>33</v>
      </c>
      <c r="O44" s="376">
        <f t="shared" si="5"/>
        <v>-2.2867845366055759</v>
      </c>
      <c r="P44" s="376">
        <f t="shared" si="5"/>
        <v>-0.2</v>
      </c>
      <c r="Q44" s="376" t="str">
        <f t="shared" si="5"/>
        <v/>
      </c>
      <c r="R44" s="376" t="str">
        <f t="shared" si="5"/>
        <v/>
      </c>
      <c r="T44" s="383" t="s">
        <v>33</v>
      </c>
      <c r="U44" s="384">
        <v>1.3</v>
      </c>
      <c r="V44" s="384">
        <v>0.03</v>
      </c>
      <c r="W44" s="384" t="s">
        <v>452</v>
      </c>
      <c r="X44" s="384" t="s">
        <v>452</v>
      </c>
      <c r="Z44" s="383" t="s">
        <v>33</v>
      </c>
      <c r="AA44" s="384">
        <f t="shared" si="6"/>
        <v>-8.6784536605575724E-2</v>
      </c>
      <c r="AB44" s="384">
        <f t="shared" si="6"/>
        <v>-0.03</v>
      </c>
      <c r="AC44" s="384" t="str">
        <f t="shared" si="6"/>
        <v/>
      </c>
      <c r="AD44" s="384" t="str">
        <f t="shared" si="6"/>
        <v/>
      </c>
    </row>
  </sheetData>
  <conditionalFormatting sqref="O3:R44">
    <cfRule type="colorScale" priority="1">
      <colorScale>
        <cfvo type="min"/>
        <cfvo type="percentile" val="50"/>
        <cfvo type="max"/>
        <color rgb="FF5A8AC6"/>
        <color rgb="FFFCFCFF"/>
        <color rgb="FFF8696B"/>
      </colorScale>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8DFC-1CAF-4B34-AD15-7DF51A2A57D5}">
  <sheetPr>
    <tabColor rgb="FFFF0000"/>
    <pageSetUpPr fitToPage="1"/>
  </sheetPr>
  <dimension ref="A3:Z150"/>
  <sheetViews>
    <sheetView view="pageBreakPreview" topLeftCell="A4" zoomScale="60" zoomScaleNormal="100" workbookViewId="0">
      <selection activeCell="K12" sqref="K12"/>
    </sheetView>
  </sheetViews>
  <sheetFormatPr defaultColWidth="8.54296875" defaultRowHeight="12.5" outlineLevelCol="1"/>
  <cols>
    <col min="1" max="1" width="5.81640625" style="42" customWidth="1"/>
    <col min="2" max="2" width="1.453125" style="55" customWidth="1"/>
    <col min="3" max="3" width="4" style="35" bestFit="1" customWidth="1"/>
    <col min="4" max="4" width="11.453125" style="246" bestFit="1" customWidth="1"/>
    <col min="5" max="5" width="8.453125" style="33" hidden="1" customWidth="1" outlineLevel="1"/>
    <col min="6" max="6" width="29.54296875" style="55" customWidth="1" collapsed="1"/>
    <col min="7" max="7" width="7.54296875" style="55" hidden="1" customWidth="1" outlineLevel="1"/>
    <col min="8" max="8" width="48.453125" style="35" customWidth="1" collapsed="1"/>
    <col min="9" max="9" width="6.1796875" style="35" customWidth="1"/>
    <col min="10" max="10" width="36.54296875" style="35" customWidth="1"/>
    <col min="11" max="11" width="1.453125" style="55" customWidth="1"/>
    <col min="12" max="12" width="4" style="35" bestFit="1" customWidth="1"/>
    <col min="13" max="13" width="8.453125" style="55" hidden="1" customWidth="1" outlineLevel="1"/>
    <col min="14" max="14" width="10.453125" style="261" bestFit="1" customWidth="1" collapsed="1"/>
    <col min="15" max="15" width="32.1796875" style="35" customWidth="1"/>
    <col min="16" max="16" width="1.453125" style="55" customWidth="1"/>
    <col min="17" max="17" width="4" style="35" bestFit="1" customWidth="1"/>
    <col min="18" max="18" width="10.453125" style="246" customWidth="1"/>
    <col min="19" max="19" width="35.453125" style="35" customWidth="1"/>
    <col min="20" max="20" width="7.453125" style="35" customWidth="1"/>
    <col min="21" max="21" width="31.453125" style="35" customWidth="1"/>
    <col min="22" max="22" width="1.54296875" style="55" customWidth="1"/>
    <col min="23" max="23" width="38" style="35" hidden="1" customWidth="1"/>
    <col min="24" max="24" width="2.54296875" style="55" customWidth="1"/>
    <col min="25" max="25" width="52.453125" style="343" customWidth="1"/>
    <col min="26" max="26" width="31.453125" style="33" customWidth="1"/>
    <col min="27" max="16384" width="8.54296875" style="33"/>
  </cols>
  <sheetData>
    <row r="3" spans="1:26" ht="23">
      <c r="A3" s="127" t="s">
        <v>125</v>
      </c>
    </row>
    <row r="4" spans="1:26" ht="146.5" customHeight="1">
      <c r="A4" s="1251" t="s">
        <v>286</v>
      </c>
      <c r="B4" s="1251"/>
      <c r="C4" s="1251"/>
      <c r="D4" s="1251"/>
      <c r="E4" s="1251"/>
      <c r="F4" s="1251"/>
      <c r="G4" s="1251"/>
      <c r="H4" s="1251"/>
      <c r="I4" s="1251"/>
      <c r="J4" s="1251"/>
      <c r="K4" s="1251"/>
      <c r="L4" s="1251"/>
      <c r="M4" s="1251"/>
      <c r="N4" s="1251"/>
      <c r="O4" s="1251"/>
      <c r="P4" s="1251"/>
      <c r="Q4" s="1251"/>
      <c r="R4" s="1251"/>
      <c r="S4" s="1251"/>
      <c r="T4" s="347"/>
      <c r="U4" s="347"/>
    </row>
    <row r="5" spans="1:26" ht="20">
      <c r="A5" s="123" t="s">
        <v>287</v>
      </c>
      <c r="C5" s="44"/>
      <c r="D5" s="247"/>
    </row>
    <row r="6" spans="1:26" s="2" customFormat="1">
      <c r="A6" s="107"/>
      <c r="B6" s="52"/>
      <c r="C6" s="12"/>
      <c r="D6" s="248"/>
      <c r="F6" s="52"/>
      <c r="G6" s="52"/>
      <c r="H6" s="12"/>
      <c r="I6" s="12"/>
      <c r="J6" s="12"/>
      <c r="K6" s="52"/>
      <c r="L6" s="12"/>
      <c r="M6" s="52"/>
      <c r="N6" s="262"/>
      <c r="O6" s="12"/>
      <c r="P6" s="52"/>
      <c r="Q6" s="12"/>
      <c r="R6" s="248"/>
      <c r="S6" s="12"/>
      <c r="T6" s="12"/>
      <c r="U6" s="12"/>
      <c r="V6" s="52"/>
      <c r="W6" s="12"/>
      <c r="X6" s="52"/>
      <c r="Y6" s="344"/>
    </row>
    <row r="7" spans="1:26" ht="13">
      <c r="C7" s="1234" t="s">
        <v>207</v>
      </c>
      <c r="D7" s="1234"/>
      <c r="E7" s="1234"/>
      <c r="F7" s="1234"/>
      <c r="G7" s="1234"/>
      <c r="H7" s="1234"/>
      <c r="I7" s="1234"/>
      <c r="J7" s="1234"/>
      <c r="L7" s="1183" t="s">
        <v>208</v>
      </c>
      <c r="M7" s="1183"/>
      <c r="N7" s="1183"/>
      <c r="O7" s="1183"/>
      <c r="Q7" s="1183" t="s">
        <v>211</v>
      </c>
      <c r="R7" s="1183"/>
      <c r="S7" s="1183"/>
      <c r="T7" s="1183"/>
      <c r="U7" s="1183"/>
      <c r="V7" s="43"/>
      <c r="W7" s="47" t="s">
        <v>60</v>
      </c>
      <c r="Y7" s="46" t="s">
        <v>43</v>
      </c>
    </row>
    <row r="8" spans="1:26" s="5" customFormat="1" ht="52" customHeight="1">
      <c r="A8" s="65"/>
      <c r="B8" s="61"/>
      <c r="C8" s="344"/>
      <c r="D8" s="249" t="s">
        <v>195</v>
      </c>
      <c r="E8" s="101" t="s">
        <v>107</v>
      </c>
      <c r="F8" s="65" t="s">
        <v>346</v>
      </c>
      <c r="G8" s="101" t="s">
        <v>107</v>
      </c>
      <c r="H8" s="65" t="s">
        <v>345</v>
      </c>
      <c r="I8" s="65" t="s">
        <v>107</v>
      </c>
      <c r="J8" s="65" t="s">
        <v>355</v>
      </c>
      <c r="K8" s="61"/>
      <c r="L8" s="344"/>
      <c r="M8" s="83" t="s">
        <v>418</v>
      </c>
      <c r="N8" s="263" t="s">
        <v>277</v>
      </c>
      <c r="O8" s="65" t="s">
        <v>410</v>
      </c>
      <c r="P8" s="61"/>
      <c r="Q8" s="344"/>
      <c r="R8" s="83" t="s">
        <v>277</v>
      </c>
      <c r="S8" s="65" t="s">
        <v>411</v>
      </c>
      <c r="T8" s="65" t="s">
        <v>107</v>
      </c>
      <c r="U8" s="65" t="s">
        <v>412</v>
      </c>
      <c r="V8" s="61"/>
      <c r="W8" s="344" t="s">
        <v>114</v>
      </c>
      <c r="X8" s="61"/>
      <c r="Y8" s="344"/>
    </row>
    <row r="9" spans="1:26" ht="13">
      <c r="A9" s="108" t="s">
        <v>135</v>
      </c>
      <c r="B9" s="109"/>
      <c r="C9" s="108"/>
      <c r="D9" s="110"/>
      <c r="E9" s="111"/>
      <c r="F9" s="109"/>
      <c r="G9" s="109"/>
      <c r="H9" s="113"/>
      <c r="I9" s="113"/>
      <c r="J9" s="113"/>
      <c r="K9" s="109"/>
      <c r="L9" s="113"/>
      <c r="M9" s="109"/>
      <c r="N9" s="264"/>
      <c r="O9" s="113"/>
      <c r="P9" s="109"/>
      <c r="Q9" s="113"/>
      <c r="R9" s="284"/>
      <c r="S9" s="113"/>
      <c r="T9" s="113"/>
      <c r="U9" s="113"/>
    </row>
    <row r="10" spans="1:26" ht="55" customHeight="1">
      <c r="A10" s="1253" t="s">
        <v>0</v>
      </c>
      <c r="C10" s="175" t="s">
        <v>115</v>
      </c>
      <c r="D10" s="250">
        <v>197.4</v>
      </c>
      <c r="E10" s="106">
        <v>3.6</v>
      </c>
      <c r="F10" s="1219" t="s">
        <v>364</v>
      </c>
      <c r="G10" s="317">
        <f>D10-E10</f>
        <v>193.8</v>
      </c>
      <c r="H10" s="1238" t="s">
        <v>352</v>
      </c>
      <c r="I10" s="338"/>
      <c r="J10" s="1300"/>
      <c r="L10" s="175" t="s">
        <v>115</v>
      </c>
      <c r="M10" s="320">
        <v>35</v>
      </c>
      <c r="N10" s="265">
        <v>15</v>
      </c>
      <c r="O10" s="1219" t="s">
        <v>350</v>
      </c>
      <c r="Q10" s="175" t="s">
        <v>115</v>
      </c>
      <c r="R10" s="257">
        <v>20</v>
      </c>
      <c r="S10" s="1219" t="s">
        <v>351</v>
      </c>
      <c r="T10" s="324"/>
      <c r="U10" s="324"/>
      <c r="W10" s="1185" t="s">
        <v>62</v>
      </c>
      <c r="Y10" s="1239" t="s">
        <v>61</v>
      </c>
    </row>
    <row r="11" spans="1:26" ht="55" customHeight="1">
      <c r="A11" s="1253"/>
      <c r="C11" s="175" t="s">
        <v>116</v>
      </c>
      <c r="D11" s="251" t="e">
        <f>D10/#REF!</f>
        <v>#REF!</v>
      </c>
      <c r="E11" s="320"/>
      <c r="F11" s="1219"/>
      <c r="G11" s="317"/>
      <c r="H11" s="1238"/>
      <c r="I11" s="338"/>
      <c r="J11" s="1300"/>
      <c r="L11" s="175" t="s">
        <v>116</v>
      </c>
      <c r="M11" s="63" t="e">
        <f>M10/VLOOKUP(A10,#REF!,7,0)</f>
        <v>#REF!</v>
      </c>
      <c r="N11" s="266" t="e">
        <f>N10/VLOOKUP(A10,#REF!,7,0)</f>
        <v>#REF!</v>
      </c>
      <c r="O11" s="1219"/>
      <c r="Q11" s="175" t="s">
        <v>116</v>
      </c>
      <c r="R11" s="285" t="e">
        <f>M11-N11</f>
        <v>#REF!</v>
      </c>
      <c r="S11" s="1219"/>
      <c r="T11" s="324"/>
      <c r="U11" s="324"/>
      <c r="W11" s="1185"/>
      <c r="Y11" s="1239"/>
    </row>
    <row r="12" spans="1:26" ht="55" customHeight="1">
      <c r="A12" s="1254"/>
      <c r="B12" s="52"/>
      <c r="C12" s="53" t="s">
        <v>117</v>
      </c>
      <c r="D12" s="252" t="e">
        <f>(D10/VLOOKUP(A10,#REF!,4,0))*100</f>
        <v>#REF!</v>
      </c>
      <c r="E12" s="321"/>
      <c r="F12" s="1186"/>
      <c r="G12" s="318"/>
      <c r="H12" s="1192"/>
      <c r="I12" s="309"/>
      <c r="J12" s="1189"/>
      <c r="K12" s="52"/>
      <c r="L12" s="53" t="s">
        <v>117</v>
      </c>
      <c r="M12" s="64" t="e">
        <f>(M10/VLOOKUP(A10,#REF!,4,0))*100</f>
        <v>#REF!</v>
      </c>
      <c r="N12" s="267" t="e">
        <f>(N10/VLOOKUP(A10,#REF!,4,0))*100</f>
        <v>#REF!</v>
      </c>
      <c r="O12" s="1186"/>
      <c r="P12" s="52"/>
      <c r="Q12" s="53" t="s">
        <v>117</v>
      </c>
      <c r="R12" s="77" t="e">
        <f>(R10/VLOOKUP(A10,#REF!,4,0))*100</f>
        <v>#REF!</v>
      </c>
      <c r="S12" s="1186"/>
      <c r="T12" s="304"/>
      <c r="U12" s="304"/>
      <c r="V12" s="52"/>
      <c r="W12" s="1186"/>
      <c r="X12" s="52"/>
      <c r="Y12" s="1240"/>
    </row>
    <row r="13" spans="1:26" ht="60" customHeight="1">
      <c r="A13" s="1253" t="s">
        <v>1</v>
      </c>
      <c r="B13" s="16"/>
      <c r="C13" s="175" t="s">
        <v>115</v>
      </c>
      <c r="D13" s="253">
        <f>190-85+E13</f>
        <v>108.175</v>
      </c>
      <c r="E13" s="62">
        <f>1.125+2.05</f>
        <v>3.1749999999999998</v>
      </c>
      <c r="F13" s="1220" t="s">
        <v>365</v>
      </c>
      <c r="G13" s="102">
        <v>105</v>
      </c>
      <c r="H13" s="1184" t="s">
        <v>353</v>
      </c>
      <c r="I13" s="302">
        <v>85</v>
      </c>
      <c r="J13" s="1184" t="s">
        <v>349</v>
      </c>
      <c r="K13" s="16"/>
      <c r="L13" s="175" t="s">
        <v>115</v>
      </c>
      <c r="M13" s="319">
        <v>70</v>
      </c>
      <c r="N13" s="268">
        <v>5</v>
      </c>
      <c r="O13" s="1184" t="s">
        <v>347</v>
      </c>
      <c r="P13" s="16"/>
      <c r="Q13" s="175" t="s">
        <v>115</v>
      </c>
      <c r="R13" s="253">
        <v>65</v>
      </c>
      <c r="S13" s="1184" t="s">
        <v>348</v>
      </c>
      <c r="T13" s="302"/>
      <c r="U13" s="302"/>
      <c r="V13" s="15"/>
      <c r="W13" s="302"/>
      <c r="X13" s="15"/>
      <c r="Y13" s="330" t="s">
        <v>63</v>
      </c>
      <c r="Z13" s="1214" t="s">
        <v>213</v>
      </c>
    </row>
    <row r="14" spans="1:26" ht="60" customHeight="1">
      <c r="A14" s="1253"/>
      <c r="B14" s="35"/>
      <c r="C14" s="175" t="s">
        <v>116</v>
      </c>
      <c r="D14" s="251" t="e">
        <f>D13/VLOOKUP(A13,#REF!,7,0)</f>
        <v>#REF!</v>
      </c>
      <c r="E14" s="82"/>
      <c r="F14" s="1221"/>
      <c r="G14" s="103"/>
      <c r="H14" s="1185"/>
      <c r="I14" s="303"/>
      <c r="J14" s="1185"/>
      <c r="K14" s="35"/>
      <c r="L14" s="175" t="s">
        <v>116</v>
      </c>
      <c r="M14" s="320"/>
      <c r="N14" s="269" t="e">
        <f>N13/VLOOKUP(A13,#REF!,7,0)</f>
        <v>#REF!</v>
      </c>
      <c r="O14" s="1185"/>
      <c r="P14" s="35"/>
      <c r="Q14" s="175" t="s">
        <v>116</v>
      </c>
      <c r="R14" s="251" t="e">
        <f>R13/VLOOKUP(A13,#REF!,7,0)</f>
        <v>#REF!</v>
      </c>
      <c r="S14" s="1185"/>
      <c r="T14" s="303"/>
      <c r="U14" s="303"/>
      <c r="W14" s="303"/>
      <c r="Y14" s="331"/>
      <c r="Z14" s="1215"/>
    </row>
    <row r="15" spans="1:26" ht="60" customHeight="1">
      <c r="A15" s="1254"/>
      <c r="B15" s="12"/>
      <c r="C15" s="53" t="s">
        <v>117</v>
      </c>
      <c r="D15" s="252" t="e">
        <f>(D13/VLOOKUP(A13,#REF!,4,0))*100</f>
        <v>#REF!</v>
      </c>
      <c r="E15" s="17"/>
      <c r="F15" s="1222"/>
      <c r="G15" s="104"/>
      <c r="H15" s="1186"/>
      <c r="I15" s="304"/>
      <c r="J15" s="1186"/>
      <c r="K15" s="12"/>
      <c r="L15" s="53" t="s">
        <v>117</v>
      </c>
      <c r="M15" s="321"/>
      <c r="N15" s="267" t="e">
        <f>(N13/VLOOKUP(A13,#REF!,4,0))*100</f>
        <v>#REF!</v>
      </c>
      <c r="O15" s="1186"/>
      <c r="P15" s="12"/>
      <c r="Q15" s="53" t="s">
        <v>117</v>
      </c>
      <c r="R15" s="252" t="e">
        <f>(R13/VLOOKUP(A13,#REF!,4,0))*100</f>
        <v>#REF!</v>
      </c>
      <c r="S15" s="1186"/>
      <c r="T15" s="304"/>
      <c r="U15" s="304"/>
      <c r="V15" s="52"/>
      <c r="W15" s="304"/>
      <c r="X15" s="52"/>
      <c r="Y15" s="332"/>
      <c r="Z15" s="1215"/>
    </row>
    <row r="16" spans="1:26" ht="40" customHeight="1">
      <c r="A16" s="1253" t="s">
        <v>358</v>
      </c>
      <c r="B16" s="16"/>
      <c r="C16" s="175" t="s">
        <v>115</v>
      </c>
      <c r="D16" s="253">
        <v>37</v>
      </c>
      <c r="E16" s="319">
        <v>0.05</v>
      </c>
      <c r="F16" s="1220" t="s">
        <v>366</v>
      </c>
      <c r="G16" s="102">
        <v>37</v>
      </c>
      <c r="H16" s="1184" t="s">
        <v>359</v>
      </c>
      <c r="I16" s="302"/>
      <c r="J16" s="302"/>
      <c r="K16" s="16"/>
      <c r="L16" s="175" t="s">
        <v>115</v>
      </c>
      <c r="M16" s="319">
        <v>1</v>
      </c>
      <c r="N16" s="268"/>
      <c r="O16" s="302"/>
      <c r="P16" s="16"/>
      <c r="Q16" s="175" t="s">
        <v>115</v>
      </c>
      <c r="R16" s="286">
        <v>1</v>
      </c>
      <c r="S16" s="1193" t="s">
        <v>288</v>
      </c>
      <c r="T16" s="310"/>
      <c r="U16" s="310"/>
      <c r="V16" s="15"/>
      <c r="W16" s="1184" t="s">
        <v>74</v>
      </c>
      <c r="X16" s="15"/>
      <c r="Y16" s="22"/>
    </row>
    <row r="17" spans="1:25" ht="40" customHeight="1">
      <c r="A17" s="1253"/>
      <c r="B17" s="35"/>
      <c r="C17" s="175" t="s">
        <v>116</v>
      </c>
      <c r="D17" s="251" t="e">
        <f>D16/VLOOKUP(A16,#REF!,6,0)</f>
        <v>#REF!</v>
      </c>
      <c r="E17" s="103"/>
      <c r="F17" s="1221"/>
      <c r="G17" s="329"/>
      <c r="H17" s="1185"/>
      <c r="I17" s="303"/>
      <c r="J17" s="303"/>
      <c r="K17" s="35"/>
      <c r="L17" s="175" t="s">
        <v>116</v>
      </c>
      <c r="M17" s="82"/>
      <c r="N17" s="269"/>
      <c r="O17" s="58"/>
      <c r="P17" s="35"/>
      <c r="Q17" s="175" t="s">
        <v>116</v>
      </c>
      <c r="R17" s="258" t="e">
        <f>R16/VLOOKUP(A16,#REF!,7,0)</f>
        <v>#REF!</v>
      </c>
      <c r="S17" s="1196"/>
      <c r="T17" s="313"/>
      <c r="U17" s="313"/>
      <c r="W17" s="1185"/>
      <c r="Y17" s="331"/>
    </row>
    <row r="18" spans="1:25" ht="40" customHeight="1">
      <c r="A18" s="1254"/>
      <c r="B18" s="12"/>
      <c r="C18" s="53" t="s">
        <v>117</v>
      </c>
      <c r="D18" s="252" t="e">
        <f>(D16/VLOOKUP(A16,#REF!,4,0))*100</f>
        <v>#REF!</v>
      </c>
      <c r="E18" s="104"/>
      <c r="F18" s="1222"/>
      <c r="G18" s="336"/>
      <c r="H18" s="1186"/>
      <c r="I18" s="304"/>
      <c r="J18" s="304"/>
      <c r="K18" s="12"/>
      <c r="L18" s="53" t="s">
        <v>117</v>
      </c>
      <c r="M18" s="321"/>
      <c r="N18" s="267"/>
      <c r="O18" s="57"/>
      <c r="P18" s="12"/>
      <c r="Q18" s="53" t="s">
        <v>117</v>
      </c>
      <c r="R18" s="252" t="e">
        <f>(R16/VLOOKUP(A16,#REF!,4,0))*100</f>
        <v>#REF!</v>
      </c>
      <c r="S18" s="1197"/>
      <c r="T18" s="314"/>
      <c r="U18" s="314"/>
      <c r="V18" s="52"/>
      <c r="W18" s="1186"/>
      <c r="X18" s="52"/>
      <c r="Y18" s="332"/>
    </row>
    <row r="19" spans="1:25" ht="40" customHeight="1">
      <c r="A19" s="1253" t="s">
        <v>2</v>
      </c>
      <c r="B19" s="16"/>
      <c r="C19" s="175" t="s">
        <v>115</v>
      </c>
      <c r="D19" s="253">
        <f>11+5.5</f>
        <v>16.5</v>
      </c>
      <c r="E19" s="102">
        <v>2</v>
      </c>
      <c r="F19" s="1184" t="s">
        <v>367</v>
      </c>
      <c r="G19" s="328">
        <v>11</v>
      </c>
      <c r="H19" s="1190" t="s">
        <v>354</v>
      </c>
      <c r="I19" s="307">
        <v>48.5</v>
      </c>
      <c r="J19" s="1190" t="s">
        <v>356</v>
      </c>
      <c r="K19" s="16"/>
      <c r="L19" s="175" t="s">
        <v>115</v>
      </c>
      <c r="M19" s="102">
        <f>R19</f>
        <v>312</v>
      </c>
      <c r="N19" s="268"/>
      <c r="O19" s="22"/>
      <c r="P19" s="16"/>
      <c r="Q19" s="175" t="s">
        <v>115</v>
      </c>
      <c r="R19" s="253">
        <v>312</v>
      </c>
      <c r="S19" s="1184" t="s">
        <v>154</v>
      </c>
      <c r="T19" s="302"/>
      <c r="U19" s="302"/>
      <c r="V19" s="15"/>
      <c r="W19" s="302" t="s">
        <v>214</v>
      </c>
      <c r="X19" s="15"/>
      <c r="Y19" s="330" t="s">
        <v>64</v>
      </c>
    </row>
    <row r="20" spans="1:25" ht="40" customHeight="1">
      <c r="A20" s="1253"/>
      <c r="B20" s="35"/>
      <c r="C20" s="175" t="s">
        <v>116</v>
      </c>
      <c r="D20" s="251" t="e">
        <f>D19/VLOOKUP(A19,#REF!,7,0)</f>
        <v>#REF!</v>
      </c>
      <c r="E20" s="103"/>
      <c r="F20" s="1185"/>
      <c r="G20" s="329"/>
      <c r="H20" s="1191"/>
      <c r="I20" s="308"/>
      <c r="J20" s="1191"/>
      <c r="K20" s="35"/>
      <c r="L20" s="175" t="s">
        <v>116</v>
      </c>
      <c r="M20" s="103" t="e">
        <f>R20</f>
        <v>#REF!</v>
      </c>
      <c r="N20" s="269"/>
      <c r="O20" s="58"/>
      <c r="P20" s="35"/>
      <c r="Q20" s="175" t="s">
        <v>116</v>
      </c>
      <c r="R20" s="251" t="e">
        <f>R19/VLOOKUP(A19,#REF!,7,0)</f>
        <v>#REF!</v>
      </c>
      <c r="S20" s="1185"/>
      <c r="T20" s="303"/>
      <c r="U20" s="303"/>
      <c r="W20" s="303"/>
      <c r="Y20" s="331"/>
    </row>
    <row r="21" spans="1:25" s="2" customFormat="1" ht="40" customHeight="1">
      <c r="A21" s="1254"/>
      <c r="B21" s="12"/>
      <c r="C21" s="53" t="s">
        <v>117</v>
      </c>
      <c r="D21" s="252" t="e">
        <f>(D19/VLOOKUP(A19,#REF!,4,0))*100</f>
        <v>#REF!</v>
      </c>
      <c r="E21" s="104"/>
      <c r="F21" s="1186"/>
      <c r="G21" s="336"/>
      <c r="H21" s="1192"/>
      <c r="I21" s="309"/>
      <c r="J21" s="1192"/>
      <c r="K21" s="12"/>
      <c r="L21" s="53" t="s">
        <v>117</v>
      </c>
      <c r="M21" s="17" t="e">
        <f>R21</f>
        <v>#REF!</v>
      </c>
      <c r="N21" s="267"/>
      <c r="O21" s="57"/>
      <c r="P21" s="12"/>
      <c r="Q21" s="53" t="s">
        <v>117</v>
      </c>
      <c r="R21" s="252" t="e">
        <f>(R19/VLOOKUP(A19,#REF!,4,0))*100</f>
        <v>#REF!</v>
      </c>
      <c r="S21" s="1186"/>
      <c r="T21" s="304"/>
      <c r="U21" s="304"/>
      <c r="V21" s="52"/>
      <c r="W21" s="304"/>
      <c r="X21" s="52"/>
      <c r="Y21" s="332"/>
    </row>
    <row r="22" spans="1:25" s="229" customFormat="1" ht="50.15" customHeight="1">
      <c r="A22" s="1253" t="s">
        <v>3</v>
      </c>
      <c r="B22" s="16"/>
      <c r="C22" s="38" t="s">
        <v>115</v>
      </c>
      <c r="D22" s="253">
        <v>143</v>
      </c>
      <c r="E22" s="62">
        <v>11.2</v>
      </c>
      <c r="F22" s="1220" t="s">
        <v>369</v>
      </c>
      <c r="G22" s="62">
        <f>D22-E22</f>
        <v>131.80000000000001</v>
      </c>
      <c r="H22" s="1184" t="s">
        <v>360</v>
      </c>
      <c r="I22" s="302"/>
      <c r="J22" s="1184" t="s">
        <v>357</v>
      </c>
      <c r="K22" s="16"/>
      <c r="L22" s="38" t="s">
        <v>115</v>
      </c>
      <c r="M22" s="319">
        <v>1025</v>
      </c>
      <c r="N22" s="270">
        <v>200</v>
      </c>
      <c r="O22" s="1184" t="s">
        <v>289</v>
      </c>
      <c r="P22" s="16"/>
      <c r="Q22" s="38" t="s">
        <v>115</v>
      </c>
      <c r="R22" s="253">
        <f>825-63</f>
        <v>762</v>
      </c>
      <c r="S22" s="1184" t="s">
        <v>141</v>
      </c>
      <c r="T22" s="302"/>
      <c r="U22" s="302"/>
      <c r="V22" s="15"/>
      <c r="W22" s="1184" t="s">
        <v>65</v>
      </c>
      <c r="X22" s="15"/>
      <c r="Y22" s="1225" t="s">
        <v>67</v>
      </c>
    </row>
    <row r="23" spans="1:25" ht="50.15" customHeight="1">
      <c r="A23" s="1253"/>
      <c r="B23" s="35"/>
      <c r="C23" s="175" t="s">
        <v>116</v>
      </c>
      <c r="D23" s="251" t="e">
        <f>D22/VLOOKUP(A22,#REF!,7,0)</f>
        <v>#REF!</v>
      </c>
      <c r="E23" s="103"/>
      <c r="F23" s="1221"/>
      <c r="G23" s="329"/>
      <c r="H23" s="1185"/>
      <c r="I23" s="303"/>
      <c r="J23" s="1185"/>
      <c r="K23" s="35"/>
      <c r="L23" s="175" t="s">
        <v>116</v>
      </c>
      <c r="M23" s="320"/>
      <c r="N23" s="266" t="e">
        <f>N22/VLOOKUP(A22,#REF!,7,0)</f>
        <v>#REF!</v>
      </c>
      <c r="O23" s="1185"/>
      <c r="P23" s="35"/>
      <c r="Q23" s="175" t="s">
        <v>116</v>
      </c>
      <c r="R23" s="251" t="e">
        <f>R22/VLOOKUP(A22,#REF!,7,0)</f>
        <v>#REF!</v>
      </c>
      <c r="S23" s="1185"/>
      <c r="T23" s="303"/>
      <c r="U23" s="303"/>
      <c r="W23" s="1185"/>
      <c r="Y23" s="1226"/>
    </row>
    <row r="24" spans="1:25" ht="50.15" customHeight="1">
      <c r="A24" s="1254"/>
      <c r="B24" s="12"/>
      <c r="C24" s="53" t="s">
        <v>117</v>
      </c>
      <c r="D24" s="252" t="e">
        <f>(D22/VLOOKUP(A22,#REF!,4,0))*100</f>
        <v>#REF!</v>
      </c>
      <c r="E24" s="104"/>
      <c r="F24" s="1222"/>
      <c r="G24" s="336"/>
      <c r="H24" s="1186"/>
      <c r="I24" s="304"/>
      <c r="J24" s="1186"/>
      <c r="K24" s="12"/>
      <c r="L24" s="53" t="s">
        <v>117</v>
      </c>
      <c r="M24" s="321"/>
      <c r="N24" s="267" t="e">
        <f>(N22/VLOOKUP(A22,#REF!,4,0))*100</f>
        <v>#REF!</v>
      </c>
      <c r="O24" s="1186"/>
      <c r="P24" s="12"/>
      <c r="Q24" s="53" t="s">
        <v>117</v>
      </c>
      <c r="R24" s="252" t="e">
        <f>(R22/VLOOKUP(A22,#REF!,4,0))*100</f>
        <v>#REF!</v>
      </c>
      <c r="S24" s="1186"/>
      <c r="T24" s="304"/>
      <c r="U24" s="304"/>
      <c r="V24" s="52"/>
      <c r="W24" s="1186"/>
      <c r="X24" s="52"/>
      <c r="Y24" s="1227"/>
    </row>
    <row r="25" spans="1:25" ht="60" customHeight="1">
      <c r="A25" s="1253" t="s">
        <v>4</v>
      </c>
      <c r="B25" s="16"/>
      <c r="C25" s="175" t="s">
        <v>115</v>
      </c>
      <c r="D25" s="253">
        <v>20</v>
      </c>
      <c r="E25" s="62">
        <v>3.2</v>
      </c>
      <c r="F25" s="1220" t="s">
        <v>368</v>
      </c>
      <c r="G25" s="62">
        <v>10.3</v>
      </c>
      <c r="H25" s="1190" t="s">
        <v>361</v>
      </c>
      <c r="I25" s="307"/>
      <c r="J25" s="1190" t="s">
        <v>362</v>
      </c>
      <c r="K25" s="16"/>
      <c r="L25" s="175" t="s">
        <v>115</v>
      </c>
      <c r="M25" s="319">
        <v>65.099999999999994</v>
      </c>
      <c r="N25" s="268"/>
      <c r="O25" s="1241"/>
      <c r="P25" s="16"/>
      <c r="Q25" s="175" t="s">
        <v>115</v>
      </c>
      <c r="R25" s="253">
        <v>530</v>
      </c>
      <c r="S25" s="1190" t="s">
        <v>215</v>
      </c>
      <c r="T25" s="307"/>
      <c r="U25" s="307"/>
      <c r="V25" s="15"/>
      <c r="W25" s="1184" t="s">
        <v>216</v>
      </c>
      <c r="X25" s="15"/>
      <c r="Y25" s="330" t="s">
        <v>66</v>
      </c>
    </row>
    <row r="26" spans="1:25" ht="60" customHeight="1">
      <c r="A26" s="1253"/>
      <c r="B26" s="35"/>
      <c r="C26" s="175" t="s">
        <v>116</v>
      </c>
      <c r="D26" s="251" t="e">
        <f>D25/VLOOKUP(A25,#REF!,7,0)</f>
        <v>#REF!</v>
      </c>
      <c r="E26" s="103"/>
      <c r="F26" s="1221"/>
      <c r="G26" s="329"/>
      <c r="H26" s="1191"/>
      <c r="I26" s="308"/>
      <c r="J26" s="1191"/>
      <c r="K26" s="35"/>
      <c r="L26" s="175" t="s">
        <v>116</v>
      </c>
      <c r="M26" s="320"/>
      <c r="N26" s="269"/>
      <c r="O26" s="1242"/>
      <c r="P26" s="35"/>
      <c r="Q26" s="175" t="s">
        <v>116</v>
      </c>
      <c r="R26" s="251" t="e">
        <f>R25/VLOOKUP(A25,#REF!,7,0)</f>
        <v>#REF!</v>
      </c>
      <c r="S26" s="1191"/>
      <c r="T26" s="308"/>
      <c r="U26" s="308"/>
      <c r="W26" s="1185"/>
      <c r="Y26" s="197" t="s">
        <v>186</v>
      </c>
    </row>
    <row r="27" spans="1:25" ht="60" customHeight="1">
      <c r="A27" s="1254"/>
      <c r="B27" s="12"/>
      <c r="C27" s="53" t="s">
        <v>117</v>
      </c>
      <c r="D27" s="252" t="e">
        <f>(D25/VLOOKUP(A25,#REF!,4,0))*100</f>
        <v>#REF!</v>
      </c>
      <c r="E27" s="104"/>
      <c r="F27" s="1222"/>
      <c r="G27" s="336"/>
      <c r="H27" s="1192"/>
      <c r="I27" s="309"/>
      <c r="J27" s="1192"/>
      <c r="K27" s="12"/>
      <c r="L27" s="53" t="s">
        <v>117</v>
      </c>
      <c r="M27" s="321"/>
      <c r="N27" s="267"/>
      <c r="O27" s="1243"/>
      <c r="P27" s="12"/>
      <c r="Q27" s="53" t="s">
        <v>117</v>
      </c>
      <c r="R27" s="252" t="e">
        <f>(R25/VLOOKUP(A25,#REF!,4,0))*100</f>
        <v>#REF!</v>
      </c>
      <c r="S27" s="1192"/>
      <c r="T27" s="309"/>
      <c r="U27" s="309"/>
      <c r="V27" s="52"/>
      <c r="W27" s="1186"/>
      <c r="X27" s="52"/>
      <c r="Y27" s="332"/>
    </row>
    <row r="28" spans="1:25" ht="60" customHeight="1">
      <c r="A28" s="1253" t="s">
        <v>5</v>
      </c>
      <c r="B28" s="16"/>
      <c r="C28" s="175" t="s">
        <v>281</v>
      </c>
      <c r="D28" s="187">
        <v>53000</v>
      </c>
      <c r="E28" s="102">
        <v>62</v>
      </c>
      <c r="F28" s="1193" t="s">
        <v>370</v>
      </c>
      <c r="G28" s="102">
        <f>383-78</f>
        <v>305</v>
      </c>
      <c r="H28" s="1193" t="s">
        <v>374</v>
      </c>
      <c r="I28" s="310"/>
      <c r="J28" s="1193" t="s">
        <v>363</v>
      </c>
      <c r="K28" s="16"/>
      <c r="L28" s="38" t="s">
        <v>115</v>
      </c>
      <c r="M28" s="319"/>
      <c r="N28" s="271">
        <v>53200</v>
      </c>
      <c r="O28" s="1372" t="s">
        <v>414</v>
      </c>
      <c r="P28" s="16"/>
      <c r="Q28" s="38" t="s">
        <v>115</v>
      </c>
      <c r="R28" s="187">
        <v>2000</v>
      </c>
      <c r="S28" s="1198" t="s">
        <v>303</v>
      </c>
      <c r="T28" s="315"/>
      <c r="U28" s="315"/>
      <c r="V28" s="15"/>
      <c r="W28" s="1184" t="s">
        <v>298</v>
      </c>
      <c r="X28" s="15"/>
      <c r="Y28" s="22"/>
    </row>
    <row r="29" spans="1:25" ht="60" customHeight="1">
      <c r="A29" s="1253"/>
      <c r="B29" s="35"/>
      <c r="C29" s="175" t="s">
        <v>116</v>
      </c>
      <c r="D29" s="251" t="e">
        <f>D28/VLOOKUP(A28,#REF!,7,0)</f>
        <v>#REF!</v>
      </c>
      <c r="E29" s="103"/>
      <c r="F29" s="1194"/>
      <c r="G29" s="329"/>
      <c r="H29" s="1196"/>
      <c r="I29" s="313"/>
      <c r="J29" s="1196"/>
      <c r="K29" s="35"/>
      <c r="L29" s="175" t="s">
        <v>116</v>
      </c>
      <c r="M29" s="320"/>
      <c r="N29" s="266" t="e">
        <f>N28/VLOOKUP(A28,#REF!,7,0)</f>
        <v>#REF!</v>
      </c>
      <c r="O29" s="1194"/>
      <c r="P29" s="35"/>
      <c r="Q29" s="175" t="s">
        <v>116</v>
      </c>
      <c r="R29" s="251" t="e">
        <f>R28/VLOOKUP(A28,#REF!,7,0)</f>
        <v>#REF!</v>
      </c>
      <c r="S29" s="1194"/>
      <c r="T29" s="311"/>
      <c r="U29" s="311"/>
      <c r="W29" s="1185"/>
      <c r="Y29" s="331"/>
    </row>
    <row r="30" spans="1:25" s="2" customFormat="1" ht="78" customHeight="1">
      <c r="A30" s="1254"/>
      <c r="B30" s="12"/>
      <c r="C30" s="53" t="s">
        <v>117</v>
      </c>
      <c r="D30" s="252" t="e">
        <f>(D28/VLOOKUP(A28,#REF!,4,0))*100</f>
        <v>#REF!</v>
      </c>
      <c r="E30" s="104"/>
      <c r="F30" s="1195"/>
      <c r="G30" s="336"/>
      <c r="H30" s="1197"/>
      <c r="I30" s="314"/>
      <c r="J30" s="1197"/>
      <c r="K30" s="12"/>
      <c r="L30" s="53" t="s">
        <v>117</v>
      </c>
      <c r="M30" s="321"/>
      <c r="N30" s="267" t="e">
        <f>(N28/VLOOKUP(A28,#REF!,4,0))*100</f>
        <v>#REF!</v>
      </c>
      <c r="O30" s="1195"/>
      <c r="P30" s="12"/>
      <c r="Q30" s="53" t="s">
        <v>117</v>
      </c>
      <c r="R30" s="252" t="e">
        <f>(R28/VLOOKUP(A28,#REF!,4,0))*100</f>
        <v>#REF!</v>
      </c>
      <c r="S30" s="1195"/>
      <c r="T30" s="312"/>
      <c r="U30" s="312"/>
      <c r="V30" s="52"/>
      <c r="W30" s="1186"/>
      <c r="X30" s="52"/>
      <c r="Y30" s="332"/>
    </row>
    <row r="31" spans="1:25" s="229" customFormat="1" ht="60.65" customHeight="1">
      <c r="A31" s="1253" t="s">
        <v>6</v>
      </c>
      <c r="B31" s="16"/>
      <c r="C31" s="38" t="s">
        <v>115</v>
      </c>
      <c r="D31" s="254">
        <v>28800</v>
      </c>
      <c r="E31" s="105">
        <v>2500</v>
      </c>
      <c r="F31" s="1220" t="s">
        <v>371</v>
      </c>
      <c r="G31" s="105">
        <v>23500</v>
      </c>
      <c r="H31" s="1193" t="s">
        <v>375</v>
      </c>
      <c r="I31" s="310"/>
      <c r="J31" s="1193" t="s">
        <v>376</v>
      </c>
      <c r="K31" s="16"/>
      <c r="L31" s="38" t="s">
        <v>115</v>
      </c>
      <c r="M31" s="319"/>
      <c r="N31" s="271">
        <v>120000</v>
      </c>
      <c r="O31" s="1241" t="s">
        <v>170</v>
      </c>
      <c r="P31" s="16"/>
      <c r="Q31" s="38" t="s">
        <v>115</v>
      </c>
      <c r="R31" s="286"/>
      <c r="S31" s="22"/>
      <c r="T31" s="22"/>
      <c r="U31" s="22"/>
      <c r="V31" s="15"/>
      <c r="W31" s="1184" t="s">
        <v>70</v>
      </c>
      <c r="X31" s="15"/>
      <c r="Y31" s="1225" t="s">
        <v>69</v>
      </c>
    </row>
    <row r="32" spans="1:25" ht="85" customHeight="1">
      <c r="A32" s="1253"/>
      <c r="B32" s="35"/>
      <c r="C32" s="175" t="s">
        <v>116</v>
      </c>
      <c r="D32" s="251" t="e">
        <f>D31/VLOOKUP(A31,#REF!,7,0)</f>
        <v>#REF!</v>
      </c>
      <c r="E32" s="103"/>
      <c r="F32" s="1221"/>
      <c r="G32" s="329"/>
      <c r="H32" s="1196"/>
      <c r="I32" s="313"/>
      <c r="J32" s="1196"/>
      <c r="K32" s="35"/>
      <c r="L32" s="175" t="s">
        <v>116</v>
      </c>
      <c r="M32" s="320"/>
      <c r="N32" s="272" t="e">
        <f>N31/VLOOKUP(A31,#REF!,7,0)</f>
        <v>#REF!</v>
      </c>
      <c r="O32" s="1242"/>
      <c r="P32" s="35"/>
      <c r="Q32" s="175" t="s">
        <v>116</v>
      </c>
      <c r="R32" s="258"/>
      <c r="S32" s="58"/>
      <c r="T32" s="58"/>
      <c r="U32" s="58"/>
      <c r="W32" s="1185"/>
      <c r="Y32" s="1226"/>
    </row>
    <row r="33" spans="1:26" ht="94.5" customHeight="1">
      <c r="A33" s="1254"/>
      <c r="B33" s="12"/>
      <c r="C33" s="53" t="s">
        <v>117</v>
      </c>
      <c r="D33" s="252" t="e">
        <f>(D31/VLOOKUP(A31,#REF!,4,0))*100</f>
        <v>#REF!</v>
      </c>
      <c r="E33" s="104"/>
      <c r="F33" s="1222"/>
      <c r="G33" s="336"/>
      <c r="H33" s="1197"/>
      <c r="I33" s="314"/>
      <c r="J33" s="1197"/>
      <c r="K33" s="12"/>
      <c r="L33" s="53" t="s">
        <v>117</v>
      </c>
      <c r="M33" s="321"/>
      <c r="N33" s="273" t="e">
        <f>(N31/VLOOKUP(A31,#REF!,4,0))*100</f>
        <v>#REF!</v>
      </c>
      <c r="O33" s="1243"/>
      <c r="P33" s="12"/>
      <c r="Q33" s="53" t="s">
        <v>117</v>
      </c>
      <c r="R33" s="258"/>
      <c r="S33" s="58"/>
      <c r="T33" s="58"/>
      <c r="U33" s="58"/>
      <c r="V33" s="52"/>
      <c r="W33" s="1186"/>
      <c r="X33" s="52"/>
      <c r="Y33" s="1227"/>
    </row>
    <row r="34" spans="1:26" s="343" customFormat="1" ht="130" customHeight="1">
      <c r="A34" s="1253" t="s">
        <v>32</v>
      </c>
      <c r="B34" s="342"/>
      <c r="C34" s="38" t="s">
        <v>115</v>
      </c>
      <c r="D34" s="255">
        <v>13.9</v>
      </c>
      <c r="E34" s="1184">
        <v>3.9</v>
      </c>
      <c r="F34" s="1233" t="s">
        <v>372</v>
      </c>
      <c r="G34" s="316">
        <v>10</v>
      </c>
      <c r="H34" s="1184" t="s">
        <v>377</v>
      </c>
      <c r="I34" s="302">
        <v>14</v>
      </c>
      <c r="J34" s="1184" t="s">
        <v>378</v>
      </c>
      <c r="K34" s="342"/>
      <c r="L34" s="175" t="s">
        <v>115</v>
      </c>
      <c r="M34" s="302"/>
      <c r="N34" s="274">
        <v>10</v>
      </c>
      <c r="O34" s="1184" t="s">
        <v>219</v>
      </c>
      <c r="P34" s="342"/>
      <c r="Q34" s="175" t="s">
        <v>115</v>
      </c>
      <c r="R34" s="255">
        <v>102</v>
      </c>
      <c r="S34" s="1184" t="s">
        <v>304</v>
      </c>
      <c r="T34" s="302"/>
      <c r="U34" s="302"/>
      <c r="V34" s="342"/>
      <c r="W34" s="302"/>
      <c r="X34" s="342"/>
      <c r="Y34" s="1225" t="s">
        <v>49</v>
      </c>
      <c r="Z34" s="343">
        <f>849+223</f>
        <v>1072</v>
      </c>
    </row>
    <row r="35" spans="1:26" s="55" customFormat="1" ht="130" customHeight="1">
      <c r="A35" s="1253"/>
      <c r="B35" s="343"/>
      <c r="C35" s="175" t="s">
        <v>116</v>
      </c>
      <c r="D35" s="251" t="e">
        <f>D34/VLOOKUP(A34,#REF!,7,0)</f>
        <v>#REF!</v>
      </c>
      <c r="E35" s="1185"/>
      <c r="F35" s="1221"/>
      <c r="G35" s="317"/>
      <c r="H35" s="1185"/>
      <c r="I35" s="303"/>
      <c r="J35" s="1185"/>
      <c r="K35" s="343"/>
      <c r="L35" s="175" t="s">
        <v>116</v>
      </c>
      <c r="M35" s="303"/>
      <c r="N35" s="272" t="e">
        <f>N34/#REF!</f>
        <v>#REF!</v>
      </c>
      <c r="O35" s="1185"/>
      <c r="P35" s="343"/>
      <c r="Q35" s="175" t="s">
        <v>116</v>
      </c>
      <c r="R35" s="251" t="e">
        <f>R34/VLOOKUP(A34,#REF!,7,0)</f>
        <v>#REF!</v>
      </c>
      <c r="S35" s="1185"/>
      <c r="T35" s="303"/>
      <c r="U35" s="303"/>
      <c r="V35" s="343"/>
      <c r="W35" s="303"/>
      <c r="X35" s="343"/>
      <c r="Y35" s="1226"/>
    </row>
    <row r="36" spans="1:26" ht="130" customHeight="1">
      <c r="A36" s="1254"/>
      <c r="B36" s="12"/>
      <c r="C36" s="53" t="s">
        <v>117</v>
      </c>
      <c r="D36" s="252" t="e">
        <f>(D34/VLOOKUP(A34,#REF!,4,0))*100</f>
        <v>#REF!</v>
      </c>
      <c r="E36" s="341"/>
      <c r="F36" s="1222"/>
      <c r="G36" s="336"/>
      <c r="H36" s="1186"/>
      <c r="I36" s="304"/>
      <c r="J36" s="1186"/>
      <c r="K36" s="12"/>
      <c r="L36" s="53" t="s">
        <v>117</v>
      </c>
      <c r="M36" s="57"/>
      <c r="N36" s="267" t="e">
        <f>N34/#REF!*100</f>
        <v>#REF!</v>
      </c>
      <c r="O36" s="1186"/>
      <c r="P36" s="12"/>
      <c r="Q36" s="53" t="s">
        <v>117</v>
      </c>
      <c r="R36" s="252" t="e">
        <f>(R34/VLOOKUP(A34,#REF!,4,0))*100</f>
        <v>#REF!</v>
      </c>
      <c r="S36" s="1186"/>
      <c r="T36" s="304"/>
      <c r="U36" s="304"/>
      <c r="V36" s="52"/>
      <c r="W36" s="304"/>
      <c r="X36" s="52"/>
      <c r="Y36" s="1227"/>
    </row>
    <row r="37" spans="1:26" ht="75" customHeight="1">
      <c r="A37" s="1253" t="s">
        <v>7</v>
      </c>
      <c r="B37" s="16"/>
      <c r="C37" s="175" t="s">
        <v>115</v>
      </c>
      <c r="D37" s="253">
        <v>65</v>
      </c>
      <c r="E37" s="102">
        <v>5</v>
      </c>
      <c r="F37" s="1220" t="s">
        <v>373</v>
      </c>
      <c r="G37" s="102">
        <v>60</v>
      </c>
      <c r="H37" s="1184" t="s">
        <v>379</v>
      </c>
      <c r="I37" s="302"/>
      <c r="J37" s="1184" t="s">
        <v>380</v>
      </c>
      <c r="K37" s="16"/>
      <c r="L37" s="175" t="s">
        <v>115</v>
      </c>
      <c r="M37" s="319">
        <v>330</v>
      </c>
      <c r="N37" s="270">
        <v>330</v>
      </c>
      <c r="O37" s="1190" t="s">
        <v>267</v>
      </c>
      <c r="P37" s="16"/>
      <c r="Q37" s="175" t="s">
        <v>115</v>
      </c>
      <c r="R37" s="286"/>
      <c r="S37" s="1184" t="s">
        <v>157</v>
      </c>
      <c r="T37" s="302"/>
      <c r="U37" s="302"/>
      <c r="V37" s="15"/>
      <c r="W37" s="1244" t="s">
        <v>72</v>
      </c>
      <c r="X37" s="15"/>
      <c r="Y37" s="1235" t="s">
        <v>71</v>
      </c>
    </row>
    <row r="38" spans="1:26" ht="75" customHeight="1">
      <c r="A38" s="1253"/>
      <c r="B38" s="35"/>
      <c r="C38" s="175" t="s">
        <v>116</v>
      </c>
      <c r="D38" s="251" t="e">
        <f>D37/VLOOKUP(A37,#REF!,7,0)</f>
        <v>#REF!</v>
      </c>
      <c r="E38" s="103"/>
      <c r="F38" s="1221"/>
      <c r="G38" s="329"/>
      <c r="H38" s="1185"/>
      <c r="I38" s="303"/>
      <c r="J38" s="1185"/>
      <c r="K38" s="35"/>
      <c r="L38" s="175" t="s">
        <v>116</v>
      </c>
      <c r="M38" s="320"/>
      <c r="N38" s="266" t="e">
        <f>N37/VLOOKUP(A37,#REF!,7,0)</f>
        <v>#REF!</v>
      </c>
      <c r="O38" s="1191"/>
      <c r="P38" s="35"/>
      <c r="Q38" s="175" t="s">
        <v>116</v>
      </c>
      <c r="R38" s="258"/>
      <c r="S38" s="1185"/>
      <c r="T38" s="303"/>
      <c r="U38" s="303"/>
      <c r="W38" s="1245"/>
      <c r="Y38" s="1236"/>
    </row>
    <row r="39" spans="1:26" s="2" customFormat="1" ht="75" customHeight="1">
      <c r="A39" s="1254"/>
      <c r="B39" s="12"/>
      <c r="C39" s="53" t="s">
        <v>117</v>
      </c>
      <c r="D39" s="252" t="e">
        <f>(D37/VLOOKUP(A37,#REF!,4,0))*100</f>
        <v>#REF!</v>
      </c>
      <c r="E39" s="104"/>
      <c r="F39" s="1222"/>
      <c r="G39" s="336"/>
      <c r="H39" s="1186"/>
      <c r="I39" s="304"/>
      <c r="J39" s="1186"/>
      <c r="K39" s="12"/>
      <c r="L39" s="53" t="s">
        <v>117</v>
      </c>
      <c r="M39" s="321"/>
      <c r="N39" s="267" t="e">
        <f>(N37/VLOOKUP(A37,#REF!,4,0))*100</f>
        <v>#REF!</v>
      </c>
      <c r="O39" s="1192"/>
      <c r="P39" s="12"/>
      <c r="Q39" s="53" t="s">
        <v>117</v>
      </c>
      <c r="R39" s="252"/>
      <c r="S39" s="1186"/>
      <c r="T39" s="304"/>
      <c r="U39" s="304"/>
      <c r="V39" s="52"/>
      <c r="W39" s="1246"/>
      <c r="X39" s="52"/>
      <c r="Y39" s="1237"/>
    </row>
    <row r="40" spans="1:26" s="229" customFormat="1" ht="67" customHeight="1">
      <c r="A40" s="1253" t="s">
        <v>8</v>
      </c>
      <c r="B40" s="16"/>
      <c r="C40" s="38" t="s">
        <v>115</v>
      </c>
      <c r="D40" s="187">
        <v>1395</v>
      </c>
      <c r="E40" s="102">
        <v>141</v>
      </c>
      <c r="F40" s="1220" t="s">
        <v>381</v>
      </c>
      <c r="G40" s="102">
        <f>D40-E40</f>
        <v>1254</v>
      </c>
      <c r="H40" s="1184" t="s">
        <v>383</v>
      </c>
      <c r="I40" s="302"/>
      <c r="J40" s="1184" t="s">
        <v>382</v>
      </c>
      <c r="K40" s="16"/>
      <c r="L40" s="38" t="s">
        <v>115</v>
      </c>
      <c r="M40" s="319">
        <v>859</v>
      </c>
      <c r="N40" s="270">
        <v>405</v>
      </c>
      <c r="O40" s="1190" t="s">
        <v>274</v>
      </c>
      <c r="P40" s="16"/>
      <c r="Q40" s="38" t="s">
        <v>115</v>
      </c>
      <c r="R40" s="253">
        <v>454</v>
      </c>
      <c r="S40" s="1184" t="s">
        <v>275</v>
      </c>
      <c r="T40" s="302"/>
      <c r="U40" s="302"/>
      <c r="V40" s="15"/>
      <c r="W40" s="1184" t="s">
        <v>73</v>
      </c>
      <c r="X40" s="15"/>
      <c r="Y40" s="22"/>
    </row>
    <row r="41" spans="1:26" ht="100" customHeight="1">
      <c r="A41" s="1253"/>
      <c r="B41" s="35"/>
      <c r="C41" s="175" t="s">
        <v>116</v>
      </c>
      <c r="D41" s="256" t="e">
        <f>D40/VLOOKUP(A40,#REF!,7,0)</f>
        <v>#REF!</v>
      </c>
      <c r="E41" s="103"/>
      <c r="F41" s="1221"/>
      <c r="G41" s="329"/>
      <c r="H41" s="1185"/>
      <c r="I41" s="303"/>
      <c r="J41" s="1185"/>
      <c r="K41" s="35"/>
      <c r="L41" s="175" t="s">
        <v>116</v>
      </c>
      <c r="M41" s="320"/>
      <c r="N41" s="266" t="e">
        <f>N40/VLOOKUP(A40,#REF!,7,0)</f>
        <v>#REF!</v>
      </c>
      <c r="O41" s="1191"/>
      <c r="P41" s="35"/>
      <c r="Q41" s="175" t="s">
        <v>116</v>
      </c>
      <c r="R41" s="285" t="e">
        <f>R40/VLOOKUP(A40,#REF!,7,0)</f>
        <v>#REF!</v>
      </c>
      <c r="S41" s="1185"/>
      <c r="T41" s="303"/>
      <c r="U41" s="303"/>
      <c r="W41" s="1185"/>
      <c r="Y41" s="331"/>
    </row>
    <row r="42" spans="1:26" ht="84.65" customHeight="1">
      <c r="A42" s="1254"/>
      <c r="B42" s="12"/>
      <c r="C42" s="53" t="s">
        <v>117</v>
      </c>
      <c r="D42" s="252" t="e">
        <f>(D40/VLOOKUP(A40,#REF!,4,0))*100</f>
        <v>#REF!</v>
      </c>
      <c r="E42" s="104"/>
      <c r="F42" s="1222"/>
      <c r="G42" s="336"/>
      <c r="H42" s="1186"/>
      <c r="I42" s="304"/>
      <c r="J42" s="1186"/>
      <c r="K42" s="12"/>
      <c r="L42" s="53" t="s">
        <v>117</v>
      </c>
      <c r="M42" s="321"/>
      <c r="N42" s="267" t="e">
        <f>(N40/VLOOKUP(A40,#REF!,4,0))*100</f>
        <v>#REF!</v>
      </c>
      <c r="O42" s="1192"/>
      <c r="P42" s="12"/>
      <c r="Q42" s="53" t="s">
        <v>117</v>
      </c>
      <c r="R42" s="78" t="e">
        <f>(R40/VLOOKUP(A40,#REF!,4,0))*100</f>
        <v>#REF!</v>
      </c>
      <c r="S42" s="1186"/>
      <c r="T42" s="304"/>
      <c r="U42" s="304"/>
      <c r="V42" s="52"/>
      <c r="W42" s="1186"/>
      <c r="X42" s="52"/>
      <c r="Y42" s="332"/>
    </row>
    <row r="43" spans="1:26">
      <c r="A43" s="150"/>
      <c r="B43" s="35"/>
      <c r="C43" s="45"/>
      <c r="E43" s="183"/>
      <c r="F43" s="37"/>
      <c r="G43" s="153"/>
      <c r="H43" s="343"/>
      <c r="I43" s="343"/>
      <c r="J43" s="343"/>
      <c r="K43" s="35"/>
      <c r="L43" s="45"/>
      <c r="M43" s="42"/>
      <c r="P43" s="35"/>
      <c r="Q43" s="45"/>
      <c r="S43" s="184"/>
      <c r="T43" s="184"/>
      <c r="U43" s="184"/>
      <c r="W43" s="343"/>
      <c r="Y43" s="337"/>
    </row>
    <row r="44" spans="1:26" s="2" customFormat="1" ht="13">
      <c r="A44" s="182" t="s">
        <v>136</v>
      </c>
      <c r="B44" s="230"/>
      <c r="C44" s="182"/>
      <c r="D44" s="231"/>
      <c r="E44" s="232"/>
      <c r="F44" s="230"/>
      <c r="G44" s="230"/>
      <c r="H44" s="233"/>
      <c r="I44" s="233"/>
      <c r="J44" s="233"/>
      <c r="K44" s="230"/>
      <c r="L44" s="233"/>
      <c r="M44" s="230"/>
      <c r="N44" s="275"/>
      <c r="O44" s="233"/>
      <c r="P44" s="230"/>
      <c r="Q44" s="233"/>
      <c r="R44" s="287"/>
      <c r="S44" s="233"/>
      <c r="T44" s="241"/>
      <c r="U44" s="241"/>
      <c r="V44" s="52"/>
      <c r="W44" s="12"/>
      <c r="X44" s="52"/>
      <c r="Y44" s="344"/>
    </row>
    <row r="45" spans="1:26" ht="59.15" customHeight="1">
      <c r="A45" s="1253" t="s">
        <v>9</v>
      </c>
      <c r="B45" s="35"/>
      <c r="C45" s="175" t="s">
        <v>115</v>
      </c>
      <c r="D45" s="257">
        <v>350</v>
      </c>
      <c r="E45" s="103"/>
      <c r="F45" s="1233" t="s">
        <v>384</v>
      </c>
      <c r="G45" s="103">
        <v>350</v>
      </c>
      <c r="H45" s="1190" t="s">
        <v>385</v>
      </c>
      <c r="I45" s="308"/>
      <c r="J45" s="1190" t="s">
        <v>386</v>
      </c>
      <c r="K45" s="35"/>
      <c r="L45" s="175" t="s">
        <v>115</v>
      </c>
      <c r="M45" s="320"/>
      <c r="N45" s="269"/>
      <c r="O45" s="1190" t="s">
        <v>144</v>
      </c>
      <c r="P45" s="35"/>
      <c r="Q45" s="175" t="s">
        <v>115</v>
      </c>
      <c r="R45" s="251">
        <v>350</v>
      </c>
      <c r="S45" s="1184" t="s">
        <v>103</v>
      </c>
      <c r="T45" s="303"/>
      <c r="U45" s="303"/>
      <c r="W45" s="58"/>
      <c r="Y45" s="58">
        <f>300/D46*350</f>
        <v>19444.444444444442</v>
      </c>
    </row>
    <row r="46" spans="1:26" ht="59.15" customHeight="1">
      <c r="A46" s="1253"/>
      <c r="B46" s="35"/>
      <c r="C46" s="175" t="s">
        <v>280</v>
      </c>
      <c r="D46" s="258">
        <v>5.4</v>
      </c>
      <c r="E46" s="103"/>
      <c r="F46" s="1247"/>
      <c r="G46" s="329"/>
      <c r="H46" s="1191"/>
      <c r="I46" s="308"/>
      <c r="J46" s="1191"/>
      <c r="K46" s="35"/>
      <c r="L46" s="175" t="s">
        <v>116</v>
      </c>
      <c r="M46" s="320"/>
      <c r="N46" s="269"/>
      <c r="O46" s="1191"/>
      <c r="P46" s="35"/>
      <c r="Q46" s="175" t="s">
        <v>282</v>
      </c>
      <c r="R46" s="258">
        <v>5.4</v>
      </c>
      <c r="S46" s="1185"/>
      <c r="T46" s="303"/>
      <c r="U46" s="303"/>
      <c r="W46" s="303" t="s">
        <v>152</v>
      </c>
      <c r="Y46" s="331"/>
    </row>
    <row r="47" spans="1:26" ht="66.650000000000006" customHeight="1">
      <c r="A47" s="1254"/>
      <c r="B47" s="12"/>
      <c r="C47" s="53" t="s">
        <v>117</v>
      </c>
      <c r="D47" s="252" t="e">
        <f>(D45/VLOOKUP("Argentina",#REF!,4,0))*100</f>
        <v>#REF!</v>
      </c>
      <c r="E47" s="104"/>
      <c r="F47" s="1248"/>
      <c r="G47" s="336"/>
      <c r="H47" s="1192"/>
      <c r="I47" s="309"/>
      <c r="J47" s="1192"/>
      <c r="K47" s="12"/>
      <c r="L47" s="53" t="s">
        <v>117</v>
      </c>
      <c r="M47" s="321"/>
      <c r="N47" s="267"/>
      <c r="O47" s="1192"/>
      <c r="P47" s="12"/>
      <c r="Q47" s="53" t="s">
        <v>117</v>
      </c>
      <c r="R47" s="252" t="e">
        <f>(R45/VLOOKUP("Argentina",#REF!,4,0))*100</f>
        <v>#REF!</v>
      </c>
      <c r="S47" s="1186"/>
      <c r="T47" s="304"/>
      <c r="U47" s="304"/>
      <c r="V47" s="52"/>
      <c r="W47" s="304"/>
      <c r="X47" s="52"/>
      <c r="Y47" s="332"/>
    </row>
    <row r="48" spans="1:26" ht="67.5" customHeight="1">
      <c r="A48" s="1253" t="s">
        <v>10</v>
      </c>
      <c r="B48" s="16"/>
      <c r="C48" s="175" t="s">
        <v>115</v>
      </c>
      <c r="D48" s="253">
        <v>205</v>
      </c>
      <c r="E48" s="102">
        <v>20</v>
      </c>
      <c r="F48" s="1220" t="s">
        <v>387</v>
      </c>
      <c r="G48" s="102"/>
      <c r="H48" s="1193" t="s">
        <v>388</v>
      </c>
      <c r="I48" s="310"/>
      <c r="J48" s="1193" t="s">
        <v>389</v>
      </c>
      <c r="K48" s="16"/>
      <c r="L48" s="175" t="s">
        <v>115</v>
      </c>
      <c r="M48" s="319">
        <v>264</v>
      </c>
      <c r="N48" s="270">
        <f>5+12.6+245</f>
        <v>262.60000000000002</v>
      </c>
      <c r="O48" s="1190" t="s">
        <v>413</v>
      </c>
      <c r="P48" s="16"/>
      <c r="Q48" s="175" t="s">
        <v>115</v>
      </c>
      <c r="R48" s="253">
        <v>34</v>
      </c>
      <c r="S48" s="1184" t="s">
        <v>290</v>
      </c>
      <c r="T48" s="302"/>
      <c r="U48" s="302"/>
      <c r="V48" s="15"/>
      <c r="W48" s="1184" t="s">
        <v>75</v>
      </c>
      <c r="X48" s="15"/>
      <c r="Y48" s="22">
        <f>5+12.6+212</f>
        <v>229.6</v>
      </c>
    </row>
    <row r="49" spans="1:25" ht="80.150000000000006" customHeight="1">
      <c r="A49" s="1253"/>
      <c r="B49" s="35"/>
      <c r="C49" s="175" t="s">
        <v>116</v>
      </c>
      <c r="D49" s="251" t="e">
        <f>D48/VLOOKUP(A48,#REF!,7,0)</f>
        <v>#REF!</v>
      </c>
      <c r="E49" s="103"/>
      <c r="F49" s="1221"/>
      <c r="G49" s="329"/>
      <c r="H49" s="1196"/>
      <c r="I49" s="313"/>
      <c r="J49" s="1196"/>
      <c r="K49" s="35"/>
      <c r="L49" s="175" t="s">
        <v>116</v>
      </c>
      <c r="M49" s="320"/>
      <c r="N49" s="266" t="e">
        <f>N48/VLOOKUP(A48,#REF!,7,0)</f>
        <v>#REF!</v>
      </c>
      <c r="O49" s="1191"/>
      <c r="P49" s="35"/>
      <c r="Q49" s="175" t="s">
        <v>116</v>
      </c>
      <c r="R49" s="258" t="e">
        <f>R48/VLOOKUP(A48,#REF!,7,0)</f>
        <v>#REF!</v>
      </c>
      <c r="S49" s="1185"/>
      <c r="T49" s="303"/>
      <c r="U49" s="303"/>
      <c r="W49" s="1185"/>
      <c r="Y49" s="331" t="e">
        <f>N49/N48*Y48</f>
        <v>#REF!</v>
      </c>
    </row>
    <row r="50" spans="1:25" ht="73.5" customHeight="1">
      <c r="A50" s="1254"/>
      <c r="B50" s="35"/>
      <c r="C50" s="175" t="s">
        <v>117</v>
      </c>
      <c r="D50" s="258" t="e">
        <f>(D48/VLOOKUP(A48,#REF!,4,0))*100</f>
        <v>#REF!</v>
      </c>
      <c r="E50" s="103"/>
      <c r="F50" s="1222"/>
      <c r="G50" s="329"/>
      <c r="H50" s="1197"/>
      <c r="I50" s="313"/>
      <c r="J50" s="1197"/>
      <c r="K50" s="35"/>
      <c r="L50" s="175" t="s">
        <v>117</v>
      </c>
      <c r="M50" s="320"/>
      <c r="N50" s="269" t="e">
        <f>(N48/VLOOKUP(A48,#REF!,4,0))*100</f>
        <v>#REF!</v>
      </c>
      <c r="O50" s="1192"/>
      <c r="P50" s="35"/>
      <c r="Q50" s="175" t="s">
        <v>117</v>
      </c>
      <c r="R50" s="258" t="e">
        <f>(R48/VLOOKUP(A48,#REF!,4,0))*100</f>
        <v>#REF!</v>
      </c>
      <c r="S50" s="1186"/>
      <c r="T50" s="303"/>
      <c r="U50" s="303"/>
      <c r="W50" s="1186"/>
      <c r="Y50" s="331"/>
    </row>
    <row r="51" spans="1:25" s="342" customFormat="1" ht="89.15" customHeight="1">
      <c r="A51" s="1253" t="s">
        <v>11</v>
      </c>
      <c r="C51" s="38" t="s">
        <v>115</v>
      </c>
      <c r="D51" s="186">
        <v>2560</v>
      </c>
      <c r="E51" s="316">
        <v>110</v>
      </c>
      <c r="F51" s="1220" t="s">
        <v>390</v>
      </c>
      <c r="G51" s="316">
        <v>2390</v>
      </c>
      <c r="H51" s="1190" t="s">
        <v>391</v>
      </c>
      <c r="I51" s="307"/>
      <c r="J51" s="1190" t="s">
        <v>392</v>
      </c>
      <c r="L51" s="38" t="s">
        <v>115</v>
      </c>
      <c r="M51" s="316"/>
      <c r="N51" s="276"/>
      <c r="O51" s="339"/>
      <c r="Q51" s="38" t="s">
        <v>115</v>
      </c>
      <c r="R51" s="348"/>
      <c r="S51" s="339"/>
      <c r="T51" s="339"/>
      <c r="U51" s="339"/>
      <c r="W51" s="1184" t="s">
        <v>76</v>
      </c>
      <c r="Y51" s="302"/>
    </row>
    <row r="52" spans="1:25" ht="87" customHeight="1">
      <c r="A52" s="1253"/>
      <c r="B52" s="35"/>
      <c r="C52" s="175" t="s">
        <v>116</v>
      </c>
      <c r="D52" s="251" t="e">
        <f>D51/VLOOKUP(A51,#REF!,7,0)</f>
        <v>#REF!</v>
      </c>
      <c r="E52" s="317"/>
      <c r="F52" s="1221"/>
      <c r="G52" s="329"/>
      <c r="H52" s="1191"/>
      <c r="I52" s="308"/>
      <c r="J52" s="1191"/>
      <c r="K52" s="35"/>
      <c r="L52" s="175" t="s">
        <v>116</v>
      </c>
      <c r="M52" s="320"/>
      <c r="N52" s="269"/>
      <c r="O52" s="58"/>
      <c r="P52" s="35"/>
      <c r="Q52" s="175" t="s">
        <v>116</v>
      </c>
      <c r="R52" s="258"/>
      <c r="S52" s="303"/>
      <c r="T52" s="303"/>
      <c r="U52" s="303"/>
      <c r="W52" s="1185"/>
      <c r="Y52" s="331"/>
    </row>
    <row r="53" spans="1:25" ht="92.15" customHeight="1">
      <c r="A53" s="1254"/>
      <c r="B53" s="12"/>
      <c r="C53" s="53" t="s">
        <v>117</v>
      </c>
      <c r="D53" s="252" t="e">
        <f>(D51/VLOOKUP(A51,#REF!,4,0))*100</f>
        <v>#REF!</v>
      </c>
      <c r="E53" s="318"/>
      <c r="F53" s="1222"/>
      <c r="G53" s="336"/>
      <c r="H53" s="1192"/>
      <c r="I53" s="309"/>
      <c r="J53" s="1192"/>
      <c r="K53" s="12"/>
      <c r="L53" s="53" t="s">
        <v>117</v>
      </c>
      <c r="M53" s="321"/>
      <c r="N53" s="267"/>
      <c r="O53" s="57"/>
      <c r="P53" s="12"/>
      <c r="Q53" s="53" t="s">
        <v>117</v>
      </c>
      <c r="R53" s="252"/>
      <c r="S53" s="304"/>
      <c r="T53" s="303"/>
      <c r="U53" s="303"/>
      <c r="W53" s="1185"/>
      <c r="Y53" s="331"/>
    </row>
    <row r="54" spans="1:25" s="342" customFormat="1" ht="120" customHeight="1">
      <c r="A54" s="1253" t="s">
        <v>12</v>
      </c>
      <c r="C54" s="38" t="s">
        <v>115</v>
      </c>
      <c r="D54" s="186">
        <v>1570</v>
      </c>
      <c r="E54" s="316">
        <v>150</v>
      </c>
      <c r="F54" s="1184" t="s">
        <v>393</v>
      </c>
      <c r="G54" s="186">
        <v>1420</v>
      </c>
      <c r="H54" s="1190" t="s">
        <v>394</v>
      </c>
      <c r="I54" s="307"/>
      <c r="J54" s="1190" t="s">
        <v>395</v>
      </c>
      <c r="L54" s="38" t="s">
        <v>115</v>
      </c>
      <c r="M54" s="316"/>
      <c r="N54" s="276"/>
      <c r="O54" s="302"/>
      <c r="Q54" s="38" t="s">
        <v>115</v>
      </c>
      <c r="R54" s="348"/>
      <c r="S54" s="302"/>
      <c r="T54" s="302"/>
      <c r="U54" s="302"/>
      <c r="W54" s="302"/>
      <c r="Y54" s="1225" t="s">
        <v>57</v>
      </c>
    </row>
    <row r="55" spans="1:25" s="343" customFormat="1" ht="120" customHeight="1">
      <c r="A55" s="1253"/>
      <c r="C55" s="175" t="s">
        <v>116</v>
      </c>
      <c r="D55" s="251" t="e">
        <f>D54/VLOOKUP(A54,#REF!,7,0)</f>
        <v>#REF!</v>
      </c>
      <c r="E55" s="346">
        <v>0.1</v>
      </c>
      <c r="F55" s="1185"/>
      <c r="G55" s="346">
        <v>0.8</v>
      </c>
      <c r="H55" s="1191"/>
      <c r="I55" s="308"/>
      <c r="J55" s="1191"/>
      <c r="L55" s="175" t="s">
        <v>116</v>
      </c>
      <c r="M55" s="317"/>
      <c r="N55" s="277"/>
      <c r="O55" s="303"/>
      <c r="Q55" s="175" t="s">
        <v>116</v>
      </c>
      <c r="R55" s="349"/>
      <c r="S55" s="303"/>
      <c r="T55" s="303"/>
      <c r="U55" s="303"/>
      <c r="W55" s="303"/>
      <c r="Y55" s="1226"/>
    </row>
    <row r="56" spans="1:25" ht="120" customHeight="1">
      <c r="A56" s="1254"/>
      <c r="B56" s="35"/>
      <c r="C56" s="175" t="s">
        <v>117</v>
      </c>
      <c r="D56" s="258" t="e">
        <f>(D54/VLOOKUP(A54,#REF!,4,0))*100</f>
        <v>#REF!</v>
      </c>
      <c r="E56" s="346"/>
      <c r="F56" s="1186"/>
      <c r="G56" s="329"/>
      <c r="H56" s="1192"/>
      <c r="I56" s="308"/>
      <c r="J56" s="1192"/>
      <c r="K56" s="35"/>
      <c r="L56" s="175" t="s">
        <v>117</v>
      </c>
      <c r="M56" s="320"/>
      <c r="N56" s="269"/>
      <c r="O56" s="58"/>
      <c r="P56" s="35"/>
      <c r="Q56" s="175" t="s">
        <v>117</v>
      </c>
      <c r="R56" s="258"/>
      <c r="S56" s="303"/>
      <c r="T56" s="303"/>
      <c r="U56" s="303"/>
      <c r="W56" s="303"/>
      <c r="Y56" s="1227"/>
    </row>
    <row r="57" spans="1:25" s="342" customFormat="1" ht="73.5" customHeight="1">
      <c r="A57" s="1253" t="s">
        <v>13</v>
      </c>
      <c r="C57" s="38" t="s">
        <v>115</v>
      </c>
      <c r="D57" s="186">
        <v>289000</v>
      </c>
      <c r="E57" s="316">
        <v>76000</v>
      </c>
      <c r="F57" s="1184" t="s">
        <v>396</v>
      </c>
      <c r="G57" s="316">
        <v>213000</v>
      </c>
      <c r="H57" s="1190" t="s">
        <v>397</v>
      </c>
      <c r="I57" s="307"/>
      <c r="J57" s="307"/>
      <c r="L57" s="38" t="s">
        <v>115</v>
      </c>
      <c r="M57" s="345"/>
      <c r="N57" s="276"/>
      <c r="O57" s="307"/>
      <c r="Q57" s="38" t="s">
        <v>115</v>
      </c>
      <c r="R57" s="186">
        <v>150000</v>
      </c>
      <c r="S57" s="1190" t="s">
        <v>333</v>
      </c>
      <c r="T57" s="307"/>
      <c r="U57" s="307"/>
      <c r="W57" s="302"/>
      <c r="Y57" s="302"/>
    </row>
    <row r="58" spans="1:25" s="343" customFormat="1" ht="100" customHeight="1">
      <c r="A58" s="1253"/>
      <c r="C58" s="175" t="s">
        <v>116</v>
      </c>
      <c r="D58" s="251" t="e">
        <f>D57/VLOOKUP(A57,#REF!,7,0)</f>
        <v>#REF!</v>
      </c>
      <c r="E58" s="317"/>
      <c r="F58" s="1185"/>
      <c r="G58" s="317"/>
      <c r="H58" s="1191"/>
      <c r="I58" s="308"/>
      <c r="J58" s="308"/>
      <c r="L58" s="175" t="s">
        <v>116</v>
      </c>
      <c r="M58" s="317"/>
      <c r="N58" s="269"/>
      <c r="O58" s="60"/>
      <c r="Q58" s="175" t="s">
        <v>116</v>
      </c>
      <c r="R58" s="349" t="e">
        <f>R57/#REF!</f>
        <v>#REF!</v>
      </c>
      <c r="S58" s="1191"/>
      <c r="T58" s="308"/>
      <c r="U58" s="308"/>
      <c r="W58" s="303"/>
      <c r="Y58" s="303"/>
    </row>
    <row r="59" spans="1:25" s="2" customFormat="1" ht="121.5" customHeight="1">
      <c r="A59" s="1254"/>
      <c r="B59" s="12"/>
      <c r="C59" s="53" t="s">
        <v>117</v>
      </c>
      <c r="D59" s="252" t="e">
        <f>(D57/VLOOKUP(A57,#REF!,4,0))*100</f>
        <v>#REF!</v>
      </c>
      <c r="E59" s="97"/>
      <c r="F59" s="1186"/>
      <c r="G59" s="336"/>
      <c r="H59" s="1192"/>
      <c r="I59" s="309"/>
      <c r="J59" s="309"/>
      <c r="K59" s="12"/>
      <c r="L59" s="53" t="s">
        <v>117</v>
      </c>
      <c r="M59" s="321"/>
      <c r="N59" s="267"/>
      <c r="O59" s="59"/>
      <c r="P59" s="12"/>
      <c r="Q59" s="53" t="s">
        <v>117</v>
      </c>
      <c r="R59" s="252" t="e">
        <f>R57/#REF!*100</f>
        <v>#REF!</v>
      </c>
      <c r="S59" s="1192"/>
      <c r="T59" s="309"/>
      <c r="U59" s="309"/>
      <c r="V59" s="52"/>
      <c r="W59" s="192" t="s">
        <v>296</v>
      </c>
      <c r="X59" s="52"/>
      <c r="Y59" s="332"/>
    </row>
    <row r="60" spans="1:25" s="37" customFormat="1" ht="42" customHeight="1">
      <c r="A60" s="1253" t="s">
        <v>14</v>
      </c>
      <c r="C60" s="175" t="s">
        <v>115</v>
      </c>
      <c r="D60" s="257">
        <v>180</v>
      </c>
      <c r="E60" s="317"/>
      <c r="F60" s="1233" t="s">
        <v>398</v>
      </c>
      <c r="G60" s="317"/>
      <c r="H60" s="1190"/>
      <c r="I60" s="308"/>
      <c r="J60" s="1190" t="s">
        <v>399</v>
      </c>
      <c r="L60" s="175" t="s">
        <v>115</v>
      </c>
      <c r="M60" s="317"/>
      <c r="N60" s="265">
        <v>75</v>
      </c>
      <c r="O60" s="1184" t="s">
        <v>415</v>
      </c>
      <c r="Q60" s="175" t="s">
        <v>115</v>
      </c>
      <c r="R60" s="349"/>
      <c r="S60" s="303"/>
      <c r="T60" s="303"/>
      <c r="U60" s="303"/>
      <c r="W60" s="1184" t="s">
        <v>77</v>
      </c>
      <c r="Y60" s="1225" t="s">
        <v>58</v>
      </c>
    </row>
    <row r="61" spans="1:25" s="37" customFormat="1" ht="37.5" customHeight="1">
      <c r="A61" s="1253"/>
      <c r="C61" s="175" t="s">
        <v>116</v>
      </c>
      <c r="D61" s="258" t="e">
        <f>D60/VLOOKUP(A60,#REF!,7,0)</f>
        <v>#REF!</v>
      </c>
      <c r="E61" s="317"/>
      <c r="F61" s="1247"/>
      <c r="G61" s="317"/>
      <c r="H61" s="1191"/>
      <c r="I61" s="308"/>
      <c r="J61" s="1191"/>
      <c r="L61" s="175" t="s">
        <v>116</v>
      </c>
      <c r="M61" s="317"/>
      <c r="N61" s="277" t="e">
        <f>N60/VLOOKUP(A60,#REF!,7,0)</f>
        <v>#REF!</v>
      </c>
      <c r="O61" s="1185"/>
      <c r="Q61" s="175" t="s">
        <v>116</v>
      </c>
      <c r="R61" s="349"/>
      <c r="S61" s="303"/>
      <c r="T61" s="303"/>
      <c r="U61" s="303"/>
      <c r="W61" s="1185"/>
      <c r="Y61" s="1226"/>
    </row>
    <row r="62" spans="1:25" s="61" customFormat="1" ht="50.5" customHeight="1">
      <c r="A62" s="1254"/>
      <c r="C62" s="53" t="s">
        <v>117</v>
      </c>
      <c r="D62" s="252" t="e">
        <f>(D60/VLOOKUP(A60,#REF!,4,0))*100</f>
        <v>#REF!</v>
      </c>
      <c r="E62" s="318"/>
      <c r="F62" s="1248"/>
      <c r="G62" s="318"/>
      <c r="H62" s="1192"/>
      <c r="I62" s="309"/>
      <c r="J62" s="1192"/>
      <c r="L62" s="53" t="s">
        <v>117</v>
      </c>
      <c r="M62" s="318"/>
      <c r="N62" s="278" t="e">
        <f>(N60/VLOOKUP(A60,#REF!,4,0))*100</f>
        <v>#REF!</v>
      </c>
      <c r="O62" s="1186"/>
      <c r="Q62" s="53" t="s">
        <v>117</v>
      </c>
      <c r="R62" s="350"/>
      <c r="S62" s="304"/>
      <c r="T62" s="304"/>
      <c r="U62" s="304"/>
      <c r="W62" s="1186"/>
      <c r="Y62" s="1227"/>
    </row>
    <row r="63" spans="1:25" s="343" customFormat="1" ht="104.5" customHeight="1">
      <c r="A63" s="1253" t="s">
        <v>15</v>
      </c>
      <c r="B63" s="342"/>
      <c r="C63" s="175" t="s">
        <v>115</v>
      </c>
      <c r="D63" s="255">
        <v>900</v>
      </c>
      <c r="E63" s="316">
        <v>78.400000000000006</v>
      </c>
      <c r="F63" s="1184" t="s">
        <v>400</v>
      </c>
      <c r="G63" s="316"/>
      <c r="H63" s="1184" t="s">
        <v>401</v>
      </c>
      <c r="I63" s="302"/>
      <c r="J63" s="1184" t="s">
        <v>402</v>
      </c>
      <c r="K63" s="342"/>
      <c r="L63" s="175" t="s">
        <v>115</v>
      </c>
      <c r="M63" s="316"/>
      <c r="N63" s="265">
        <v>570</v>
      </c>
      <c r="O63" s="1190" t="s">
        <v>416</v>
      </c>
      <c r="P63" s="342"/>
      <c r="Q63" s="175" t="s">
        <v>115</v>
      </c>
      <c r="R63" s="257"/>
      <c r="S63" s="1187"/>
      <c r="T63" s="305"/>
      <c r="U63" s="305"/>
      <c r="V63" s="342"/>
      <c r="W63" s="302"/>
      <c r="X63" s="342"/>
      <c r="Y63" s="302"/>
    </row>
    <row r="64" spans="1:25" s="343" customFormat="1" ht="101.5" customHeight="1">
      <c r="A64" s="1253"/>
      <c r="C64" s="175" t="s">
        <v>116</v>
      </c>
      <c r="D64" s="251" t="e">
        <f>D63/VLOOKUP(A63,#REF!,7,0)</f>
        <v>#REF!</v>
      </c>
      <c r="E64" s="317"/>
      <c r="F64" s="1185"/>
      <c r="G64" s="317"/>
      <c r="H64" s="1185"/>
      <c r="I64" s="303"/>
      <c r="J64" s="1185"/>
      <c r="L64" s="175" t="s">
        <v>116</v>
      </c>
      <c r="M64" s="317"/>
      <c r="N64" s="269" t="e">
        <f>N63/VLOOKUP(A63,#REF!,7,0)</f>
        <v>#REF!</v>
      </c>
      <c r="O64" s="1191"/>
      <c r="Q64" s="175" t="s">
        <v>116</v>
      </c>
      <c r="R64" s="258"/>
      <c r="S64" s="1188"/>
      <c r="T64" s="306"/>
      <c r="U64" s="306"/>
      <c r="W64" s="303"/>
      <c r="Y64" s="303"/>
    </row>
    <row r="65" spans="1:25" ht="110.15" customHeight="1">
      <c r="A65" s="1254"/>
      <c r="B65" s="35"/>
      <c r="C65" s="175" t="s">
        <v>117</v>
      </c>
      <c r="D65" s="258" t="e">
        <f>(D63/VLOOKUP(A63,#REF!,4,0))*100</f>
        <v>#REF!</v>
      </c>
      <c r="E65" s="346"/>
      <c r="F65" s="1186"/>
      <c r="G65" s="329"/>
      <c r="H65" s="1186"/>
      <c r="I65" s="303"/>
      <c r="J65" s="1186"/>
      <c r="K65" s="35"/>
      <c r="L65" s="175" t="s">
        <v>117</v>
      </c>
      <c r="M65" s="320"/>
      <c r="N65" s="269" t="e">
        <f>(N63/VLOOKUP(A63,#REF!,4,0))*100</f>
        <v>#REF!</v>
      </c>
      <c r="O65" s="1192"/>
      <c r="P65" s="35"/>
      <c r="Q65" s="175" t="s">
        <v>117</v>
      </c>
      <c r="R65" s="258"/>
      <c r="S65" s="1189"/>
      <c r="T65" s="306"/>
      <c r="U65" s="306"/>
      <c r="W65" s="303"/>
      <c r="Y65" s="331"/>
    </row>
    <row r="66" spans="1:25" s="342" customFormat="1" ht="60" customHeight="1">
      <c r="A66" s="1253" t="s">
        <v>16</v>
      </c>
      <c r="C66" s="38" t="s">
        <v>115</v>
      </c>
      <c r="D66" s="255" t="s">
        <v>276</v>
      </c>
      <c r="E66" s="316">
        <v>10</v>
      </c>
      <c r="F66" s="1184" t="s">
        <v>403</v>
      </c>
      <c r="G66" s="316"/>
      <c r="H66" s="1184" t="s">
        <v>404</v>
      </c>
      <c r="I66" s="302"/>
      <c r="J66" s="1184" t="s">
        <v>405</v>
      </c>
      <c r="L66" s="38" t="s">
        <v>115</v>
      </c>
      <c r="M66" s="316">
        <v>22</v>
      </c>
      <c r="N66" s="274">
        <v>31</v>
      </c>
      <c r="O66" s="1184" t="s">
        <v>284</v>
      </c>
      <c r="Q66" s="38" t="s">
        <v>115</v>
      </c>
      <c r="R66" s="348"/>
      <c r="S66" s="302"/>
      <c r="T66" s="302"/>
      <c r="U66" s="302"/>
      <c r="W66" s="302"/>
      <c r="Y66" s="1225" t="s">
        <v>59</v>
      </c>
    </row>
    <row r="67" spans="1:25" s="343" customFormat="1" ht="60" customHeight="1">
      <c r="A67" s="1253"/>
      <c r="C67" s="175" t="s">
        <v>116</v>
      </c>
      <c r="D67" s="258"/>
      <c r="E67" s="317"/>
      <c r="F67" s="1185"/>
      <c r="G67" s="317"/>
      <c r="H67" s="1185"/>
      <c r="I67" s="303"/>
      <c r="J67" s="1185"/>
      <c r="L67" s="175" t="s">
        <v>116</v>
      </c>
      <c r="M67" s="317"/>
      <c r="N67" s="269" t="e">
        <f>N66/VLOOKUP(A66,#REF!,7,0)</f>
        <v>#REF!</v>
      </c>
      <c r="O67" s="1185"/>
      <c r="Q67" s="175" t="s">
        <v>116</v>
      </c>
      <c r="R67" s="349"/>
      <c r="S67" s="303"/>
      <c r="T67" s="303"/>
      <c r="U67" s="303"/>
      <c r="W67" s="303"/>
      <c r="Y67" s="1226"/>
    </row>
    <row r="68" spans="1:25" ht="60" customHeight="1">
      <c r="A68" s="1254"/>
      <c r="B68" s="12"/>
      <c r="C68" s="53" t="s">
        <v>117</v>
      </c>
      <c r="D68" s="252"/>
      <c r="E68" s="97"/>
      <c r="F68" s="1186"/>
      <c r="G68" s="336"/>
      <c r="H68" s="1186"/>
      <c r="I68" s="304"/>
      <c r="J68" s="1186"/>
      <c r="K68" s="12"/>
      <c r="L68" s="53" t="s">
        <v>117</v>
      </c>
      <c r="M68" s="321"/>
      <c r="N68" s="267" t="e">
        <f>(N66/VLOOKUP(A66,#REF!,4,0))*100</f>
        <v>#REF!</v>
      </c>
      <c r="O68" s="1186"/>
      <c r="P68" s="12"/>
      <c r="Q68" s="53" t="s">
        <v>117</v>
      </c>
      <c r="R68" s="252"/>
      <c r="S68" s="304"/>
      <c r="T68" s="304"/>
      <c r="U68" s="304"/>
      <c r="V68" s="52"/>
      <c r="W68" s="304"/>
      <c r="X68" s="52"/>
      <c r="Y68" s="332"/>
    </row>
    <row r="69" spans="1:25" s="343" customFormat="1" ht="60" customHeight="1">
      <c r="A69" s="1253" t="s">
        <v>17</v>
      </c>
      <c r="B69" s="342"/>
      <c r="C69" s="175" t="s">
        <v>115</v>
      </c>
      <c r="D69" s="348" t="s">
        <v>84</v>
      </c>
      <c r="E69" s="1249"/>
      <c r="F69" s="1184" t="s">
        <v>176</v>
      </c>
      <c r="G69" s="316"/>
      <c r="H69" s="1190" t="s">
        <v>406</v>
      </c>
      <c r="I69" s="307"/>
      <c r="J69" s="1190" t="s">
        <v>407</v>
      </c>
      <c r="K69" s="342"/>
      <c r="L69" s="175" t="s">
        <v>115</v>
      </c>
      <c r="M69" s="316"/>
      <c r="N69" s="274">
        <v>30.15</v>
      </c>
      <c r="O69" s="1184" t="s">
        <v>417</v>
      </c>
      <c r="P69" s="342"/>
      <c r="Q69" s="175" t="s">
        <v>115</v>
      </c>
      <c r="R69" s="348"/>
      <c r="S69" s="302"/>
      <c r="T69" s="302"/>
      <c r="U69" s="302"/>
      <c r="V69" s="342"/>
      <c r="W69" s="302"/>
      <c r="X69" s="342"/>
      <c r="Y69" s="302"/>
    </row>
    <row r="70" spans="1:25" s="343" customFormat="1" ht="60" customHeight="1">
      <c r="A70" s="1253"/>
      <c r="C70" s="175" t="s">
        <v>116</v>
      </c>
      <c r="D70" s="258"/>
      <c r="E70" s="1250"/>
      <c r="F70" s="1185"/>
      <c r="G70" s="317"/>
      <c r="H70" s="1191"/>
      <c r="I70" s="308"/>
      <c r="J70" s="1191"/>
      <c r="L70" s="175" t="s">
        <v>116</v>
      </c>
      <c r="M70" s="317"/>
      <c r="N70" s="269" t="e">
        <f>N69/VLOOKUP(A69,#REF!,7,0)</f>
        <v>#REF!</v>
      </c>
      <c r="O70" s="1185"/>
      <c r="Q70" s="175" t="s">
        <v>116</v>
      </c>
      <c r="R70" s="349"/>
      <c r="S70" s="303"/>
      <c r="T70" s="303"/>
      <c r="U70" s="303"/>
      <c r="W70" s="303"/>
      <c r="Y70" s="303"/>
    </row>
    <row r="71" spans="1:25" ht="60" customHeight="1">
      <c r="A71" s="1254"/>
      <c r="B71" s="12"/>
      <c r="C71" s="53" t="s">
        <v>117</v>
      </c>
      <c r="D71" s="252"/>
      <c r="E71" s="97"/>
      <c r="F71" s="1186"/>
      <c r="G71" s="336"/>
      <c r="H71" s="1192"/>
      <c r="I71" s="309"/>
      <c r="J71" s="1192"/>
      <c r="K71" s="12"/>
      <c r="L71" s="53" t="s">
        <v>117</v>
      </c>
      <c r="M71" s="321"/>
      <c r="N71" s="267" t="e">
        <f>(N69/VLOOKUP(A69,#REF!,4,0))*100</f>
        <v>#REF!</v>
      </c>
      <c r="O71" s="1186"/>
      <c r="P71" s="12"/>
      <c r="Q71" s="53" t="s">
        <v>117</v>
      </c>
      <c r="R71" s="252"/>
      <c r="S71" s="304"/>
      <c r="T71" s="304"/>
      <c r="U71" s="304"/>
      <c r="V71" s="52"/>
      <c r="W71" s="304"/>
      <c r="X71" s="52"/>
      <c r="Y71" s="332"/>
    </row>
    <row r="72" spans="1:25" s="37" customFormat="1" ht="50.15" customHeight="1">
      <c r="A72" s="1253" t="s">
        <v>18</v>
      </c>
      <c r="B72" s="14"/>
      <c r="C72" s="175" t="s">
        <v>115</v>
      </c>
      <c r="D72" s="255">
        <v>75</v>
      </c>
      <c r="E72" s="1199"/>
      <c r="F72" s="1184"/>
      <c r="G72" s="1199">
        <v>75</v>
      </c>
      <c r="H72" s="1190" t="s">
        <v>408</v>
      </c>
      <c r="I72" s="307"/>
      <c r="J72" s="1190" t="s">
        <v>409</v>
      </c>
      <c r="K72" s="14"/>
      <c r="L72" s="175" t="s">
        <v>115</v>
      </c>
      <c r="M72" s="316">
        <v>25</v>
      </c>
      <c r="N72" s="276"/>
      <c r="O72" s="1241" t="s">
        <v>146</v>
      </c>
      <c r="P72" s="14"/>
      <c r="Q72" s="175" t="s">
        <v>115</v>
      </c>
      <c r="R72" s="255">
        <v>25</v>
      </c>
      <c r="S72" s="1184" t="s">
        <v>229</v>
      </c>
      <c r="T72" s="302"/>
      <c r="U72" s="302"/>
      <c r="V72" s="14"/>
      <c r="W72" s="302"/>
      <c r="X72" s="14"/>
      <c r="Y72" s="302"/>
    </row>
    <row r="73" spans="1:25" s="37" customFormat="1" ht="50.15" customHeight="1">
      <c r="A73" s="1253"/>
      <c r="C73" s="175" t="s">
        <v>116</v>
      </c>
      <c r="D73" s="251" t="e">
        <f>D72/VLOOKUP(A72,#REF!,7,0)</f>
        <v>#REF!</v>
      </c>
      <c r="E73" s="1200"/>
      <c r="F73" s="1185"/>
      <c r="G73" s="1200"/>
      <c r="H73" s="1191"/>
      <c r="I73" s="308"/>
      <c r="J73" s="1191"/>
      <c r="L73" s="175" t="s">
        <v>116</v>
      </c>
      <c r="M73" s="317"/>
      <c r="N73" s="277"/>
      <c r="O73" s="1185"/>
      <c r="Q73" s="175" t="s">
        <v>116</v>
      </c>
      <c r="R73" s="258" t="e">
        <f>R72/VLOOKUP(A72,#REF!,7,0)</f>
        <v>#REF!</v>
      </c>
      <c r="S73" s="1185"/>
      <c r="T73" s="303"/>
      <c r="U73" s="303"/>
      <c r="W73" s="303"/>
      <c r="Y73" s="303"/>
    </row>
    <row r="74" spans="1:25" ht="50.15" customHeight="1">
      <c r="A74" s="1254"/>
      <c r="B74" s="12"/>
      <c r="C74" s="53" t="s">
        <v>117</v>
      </c>
      <c r="D74" s="252" t="e">
        <f>(D72/VLOOKUP(A72,#REF!,4,0))*100</f>
        <v>#REF!</v>
      </c>
      <c r="E74" s="97"/>
      <c r="F74" s="1186"/>
      <c r="G74" s="336"/>
      <c r="H74" s="1192"/>
      <c r="I74" s="309"/>
      <c r="J74" s="1192"/>
      <c r="K74" s="12"/>
      <c r="L74" s="53" t="s">
        <v>117</v>
      </c>
      <c r="M74" s="321"/>
      <c r="N74" s="267"/>
      <c r="O74" s="1186"/>
      <c r="P74" s="12"/>
      <c r="Q74" s="53" t="s">
        <v>117</v>
      </c>
      <c r="R74" s="252" t="e">
        <f>(R72/VLOOKUP(A72,#REF!,4,0))*100</f>
        <v>#REF!</v>
      </c>
      <c r="S74" s="1186"/>
      <c r="T74" s="304"/>
      <c r="U74" s="304"/>
      <c r="V74" s="52"/>
      <c r="W74" s="304"/>
      <c r="X74" s="52"/>
      <c r="Y74" s="332"/>
    </row>
    <row r="75" spans="1:25">
      <c r="G75" s="42"/>
    </row>
    <row r="76" spans="1:25" ht="13">
      <c r="A76" s="108" t="s">
        <v>134</v>
      </c>
      <c r="B76" s="109"/>
      <c r="C76" s="108"/>
      <c r="D76" s="110"/>
      <c r="E76" s="111"/>
      <c r="F76" s="109"/>
      <c r="G76" s="112"/>
      <c r="H76" s="113"/>
      <c r="I76" s="113"/>
      <c r="J76" s="113"/>
      <c r="K76" s="109"/>
      <c r="L76" s="113"/>
      <c r="M76" s="109"/>
      <c r="N76" s="264"/>
      <c r="O76" s="113"/>
      <c r="P76" s="109"/>
      <c r="Q76" s="113"/>
      <c r="R76" s="284"/>
      <c r="S76" s="113"/>
      <c r="T76" s="113"/>
      <c r="U76" s="113"/>
    </row>
    <row r="77" spans="1:25" s="343" customFormat="1" ht="80.5" customHeight="1">
      <c r="A77" s="1253" t="s">
        <v>19</v>
      </c>
      <c r="C77" s="175" t="s">
        <v>115</v>
      </c>
      <c r="D77" s="257">
        <v>60</v>
      </c>
      <c r="E77" s="303"/>
      <c r="F77" s="1221" t="s">
        <v>309</v>
      </c>
      <c r="G77" s="317"/>
      <c r="H77" s="1216" t="s">
        <v>177</v>
      </c>
      <c r="I77" s="322"/>
      <c r="J77" s="322"/>
      <c r="L77" s="175" t="s">
        <v>115</v>
      </c>
      <c r="M77" s="303"/>
      <c r="N77" s="277"/>
      <c r="O77" s="1219"/>
      <c r="Q77" s="175" t="s">
        <v>115</v>
      </c>
      <c r="R77" s="257">
        <v>65</v>
      </c>
      <c r="S77" s="1185" t="s">
        <v>147</v>
      </c>
      <c r="T77" s="303"/>
      <c r="U77" s="303"/>
      <c r="W77" s="1185" t="s">
        <v>109</v>
      </c>
      <c r="Y77" s="331" t="s">
        <v>44</v>
      </c>
    </row>
    <row r="78" spans="1:25" ht="90" customHeight="1">
      <c r="A78" s="1253"/>
      <c r="B78" s="35"/>
      <c r="C78" s="175" t="s">
        <v>116</v>
      </c>
      <c r="D78" s="258" t="e">
        <f>D77/VLOOKUP(A77,#REF!,7,0)</f>
        <v>#REF!</v>
      </c>
      <c r="E78" s="340"/>
      <c r="F78" s="1221"/>
      <c r="G78" s="329"/>
      <c r="H78" s="1217"/>
      <c r="I78" s="323"/>
      <c r="J78" s="323"/>
      <c r="K78" s="35"/>
      <c r="L78" s="175" t="s">
        <v>116</v>
      </c>
      <c r="M78" s="58"/>
      <c r="N78" s="269"/>
      <c r="O78" s="1219"/>
      <c r="P78" s="35"/>
      <c r="Q78" s="175" t="s">
        <v>116</v>
      </c>
      <c r="R78" s="258" t="e">
        <f>R77/VLOOKUP(A77,#REF!,7,0)</f>
        <v>#REF!</v>
      </c>
      <c r="S78" s="1185"/>
      <c r="T78" s="303"/>
      <c r="U78" s="303"/>
      <c r="W78" s="1185"/>
      <c r="Y78" s="331" t="s">
        <v>45</v>
      </c>
    </row>
    <row r="79" spans="1:25" ht="82.5" customHeight="1">
      <c r="A79" s="1254"/>
      <c r="B79" s="35"/>
      <c r="C79" s="175" t="s">
        <v>117</v>
      </c>
      <c r="D79" s="258" t="e">
        <f>(D77/VLOOKUP(A77,#REF!,4,0))*100</f>
        <v>#REF!</v>
      </c>
      <c r="E79" s="340"/>
      <c r="F79" s="1222"/>
      <c r="G79" s="329"/>
      <c r="H79" s="1218"/>
      <c r="I79" s="301"/>
      <c r="J79" s="301"/>
      <c r="K79" s="35"/>
      <c r="L79" s="175" t="s">
        <v>117</v>
      </c>
      <c r="M79" s="58"/>
      <c r="N79" s="269"/>
      <c r="O79" s="1186"/>
      <c r="P79" s="35"/>
      <c r="Q79" s="175" t="s">
        <v>117</v>
      </c>
      <c r="R79" s="258" t="e">
        <f>(R77/VLOOKUP(A77,#REF!,4,0))*100</f>
        <v>#REF!</v>
      </c>
      <c r="S79" s="1186"/>
      <c r="T79" s="303"/>
      <c r="U79" s="303"/>
      <c r="W79" s="1186"/>
      <c r="Y79" s="331"/>
    </row>
    <row r="80" spans="1:25" s="15" customFormat="1" ht="50.15" customHeight="1">
      <c r="A80" s="1253" t="s">
        <v>20</v>
      </c>
      <c r="C80" s="38" t="s">
        <v>115</v>
      </c>
      <c r="D80" s="348">
        <f>1.5+2.4</f>
        <v>3.9</v>
      </c>
      <c r="E80" s="1184">
        <v>0.2</v>
      </c>
      <c r="F80" s="1193" t="s">
        <v>183</v>
      </c>
      <c r="G80" s="319">
        <f>1.5-0.2</f>
        <v>1.3</v>
      </c>
      <c r="H80" s="1184" t="s">
        <v>232</v>
      </c>
      <c r="I80" s="302"/>
      <c r="J80" s="302"/>
      <c r="L80" s="38" t="s">
        <v>115</v>
      </c>
      <c r="M80" s="8"/>
      <c r="N80" s="268">
        <v>1</v>
      </c>
      <c r="O80" s="1184" t="s">
        <v>334</v>
      </c>
      <c r="Q80" s="38" t="s">
        <v>115</v>
      </c>
      <c r="R80" s="253">
        <v>10.6</v>
      </c>
      <c r="S80" s="1184" t="s">
        <v>305</v>
      </c>
      <c r="T80" s="302"/>
      <c r="U80" s="302"/>
      <c r="W80" s="1184" t="s">
        <v>233</v>
      </c>
      <c r="Y80" s="156" t="s">
        <v>46</v>
      </c>
    </row>
    <row r="81" spans="1:25" s="55" customFormat="1" ht="50.15" customHeight="1">
      <c r="A81" s="1253"/>
      <c r="C81" s="175" t="s">
        <v>116</v>
      </c>
      <c r="D81" s="258" t="e">
        <f>D80/VLOOKUP(A80,#REF!,7,0)</f>
        <v>#REF!</v>
      </c>
      <c r="E81" s="1185"/>
      <c r="F81" s="1203"/>
      <c r="G81" s="320"/>
      <c r="H81" s="1185"/>
      <c r="I81" s="303"/>
      <c r="J81" s="303"/>
      <c r="L81" s="175" t="s">
        <v>116</v>
      </c>
      <c r="M81" s="39"/>
      <c r="N81" s="269" t="e">
        <f>N80/VLOOKUP(A80,#REF!,7,0)</f>
        <v>#REF!</v>
      </c>
      <c r="O81" s="1185"/>
      <c r="Q81" s="175" t="s">
        <v>116</v>
      </c>
      <c r="R81" s="251" t="e">
        <f>R80/VLOOKUP(A80,#REF!,7,0)</f>
        <v>#REF!</v>
      </c>
      <c r="S81" s="1219"/>
      <c r="T81" s="324"/>
      <c r="U81" s="324"/>
      <c r="W81" s="1186"/>
      <c r="Y81" s="157"/>
    </row>
    <row r="82" spans="1:25" ht="50.15" customHeight="1">
      <c r="A82" s="1254"/>
      <c r="B82" s="12"/>
      <c r="C82" s="53" t="s">
        <v>117</v>
      </c>
      <c r="D82" s="252" t="e">
        <f>(D80/VLOOKUP(A80,#REF!,4,0))*100</f>
        <v>#REF!</v>
      </c>
      <c r="E82" s="341"/>
      <c r="F82" s="1204"/>
      <c r="G82" s="336"/>
      <c r="H82" s="1186"/>
      <c r="I82" s="304"/>
      <c r="J82" s="304"/>
      <c r="K82" s="12"/>
      <c r="L82" s="53" t="s">
        <v>117</v>
      </c>
      <c r="M82" s="57"/>
      <c r="N82" s="267" t="e">
        <f>(N80/VLOOKUP(A80,#REF!,4,0))*100</f>
        <v>#REF!</v>
      </c>
      <c r="O82" s="1186"/>
      <c r="P82" s="12"/>
      <c r="Q82" s="53" t="s">
        <v>117</v>
      </c>
      <c r="R82" s="252" t="e">
        <f>(R80/VLOOKUP(A80,#REF!,4,0))*100</f>
        <v>#REF!</v>
      </c>
      <c r="S82" s="1186"/>
      <c r="T82" s="304"/>
      <c r="U82" s="304"/>
      <c r="V82" s="52"/>
      <c r="W82" s="325" t="s">
        <v>234</v>
      </c>
      <c r="X82" s="52"/>
      <c r="Y82" s="158"/>
    </row>
    <row r="83" spans="1:25" ht="60" customHeight="1">
      <c r="A83" s="1253" t="s">
        <v>184</v>
      </c>
      <c r="B83" s="14"/>
      <c r="C83" s="38" t="s">
        <v>115</v>
      </c>
      <c r="D83" s="255">
        <v>20</v>
      </c>
      <c r="E83" s="1199"/>
      <c r="F83" s="325"/>
      <c r="G83" s="316"/>
      <c r="H83" s="1229" t="s">
        <v>182</v>
      </c>
      <c r="I83" s="333"/>
      <c r="J83" s="333"/>
      <c r="K83" s="14"/>
      <c r="L83" s="175" t="s">
        <v>115</v>
      </c>
      <c r="M83" s="325"/>
      <c r="N83" s="276"/>
      <c r="O83" s="1184"/>
      <c r="P83" s="14"/>
      <c r="Q83" s="175" t="s">
        <v>115</v>
      </c>
      <c r="R83" s="1369" t="s">
        <v>84</v>
      </c>
      <c r="S83" s="1184" t="s">
        <v>335</v>
      </c>
      <c r="T83" s="302"/>
      <c r="U83" s="302"/>
      <c r="V83" s="14"/>
      <c r="W83" s="1184" t="s">
        <v>110</v>
      </c>
      <c r="X83" s="14"/>
      <c r="Y83" s="1225" t="s">
        <v>47</v>
      </c>
    </row>
    <row r="84" spans="1:25" ht="60" customHeight="1">
      <c r="A84" s="1253"/>
      <c r="B84" s="37"/>
      <c r="C84" s="175" t="s">
        <v>116</v>
      </c>
      <c r="D84" s="251" t="e">
        <f>D83/VLOOKUP(A83,#REF!,7,0)</f>
        <v>#REF!</v>
      </c>
      <c r="E84" s="1200"/>
      <c r="F84" s="326"/>
      <c r="G84" s="317"/>
      <c r="H84" s="1230"/>
      <c r="I84" s="334"/>
      <c r="J84" s="334"/>
      <c r="K84" s="37"/>
      <c r="L84" s="175" t="s">
        <v>116</v>
      </c>
      <c r="M84" s="326"/>
      <c r="N84" s="277"/>
      <c r="O84" s="1219"/>
      <c r="P84" s="37"/>
      <c r="Q84" s="175" t="s">
        <v>116</v>
      </c>
      <c r="R84" s="1370"/>
      <c r="S84" s="1219"/>
      <c r="T84" s="324"/>
      <c r="U84" s="324"/>
      <c r="V84" s="37"/>
      <c r="W84" s="1185"/>
      <c r="X84" s="37"/>
      <c r="Y84" s="1226"/>
    </row>
    <row r="85" spans="1:25" ht="60" customHeight="1">
      <c r="A85" s="1254"/>
      <c r="B85" s="12"/>
      <c r="C85" s="53" t="s">
        <v>117</v>
      </c>
      <c r="D85" s="252" t="e">
        <f>(D83/VLOOKUP(A83,#REF!,4,0))*100</f>
        <v>#REF!</v>
      </c>
      <c r="E85" s="341"/>
      <c r="F85" s="327"/>
      <c r="G85" s="336"/>
      <c r="H85" s="1231"/>
      <c r="I85" s="335"/>
      <c r="J85" s="335"/>
      <c r="K85" s="12"/>
      <c r="L85" s="53" t="s">
        <v>117</v>
      </c>
      <c r="M85" s="57"/>
      <c r="N85" s="267"/>
      <c r="O85" s="1186"/>
      <c r="P85" s="12"/>
      <c r="Q85" s="53" t="s">
        <v>117</v>
      </c>
      <c r="R85" s="1371"/>
      <c r="S85" s="1186"/>
      <c r="T85" s="304"/>
      <c r="U85" s="304"/>
      <c r="V85" s="52"/>
      <c r="W85" s="1186"/>
      <c r="X85" s="52"/>
      <c r="Y85" s="1227"/>
    </row>
    <row r="86" spans="1:25" s="37" customFormat="1" ht="89.5" customHeight="1">
      <c r="A86" s="1253" t="s">
        <v>36</v>
      </c>
      <c r="B86" s="14"/>
      <c r="C86" s="38" t="s">
        <v>115</v>
      </c>
      <c r="D86" s="255">
        <v>76.8</v>
      </c>
      <c r="E86" s="1184"/>
      <c r="F86" s="1184" t="s">
        <v>310</v>
      </c>
      <c r="G86" s="316"/>
      <c r="H86" s="1184" t="s">
        <v>312</v>
      </c>
      <c r="I86" s="302"/>
      <c r="J86" s="302"/>
      <c r="K86" s="14"/>
      <c r="L86" s="175" t="s">
        <v>115</v>
      </c>
      <c r="M86" s="325"/>
      <c r="N86" s="274">
        <v>50</v>
      </c>
      <c r="O86" s="1184" t="s">
        <v>336</v>
      </c>
      <c r="P86" s="14"/>
      <c r="Q86" s="175" t="s">
        <v>115</v>
      </c>
      <c r="R86" s="255">
        <v>50</v>
      </c>
      <c r="S86" s="1184" t="s">
        <v>337</v>
      </c>
      <c r="T86" s="302"/>
      <c r="U86" s="302"/>
      <c r="V86" s="14"/>
      <c r="W86" s="1184" t="s">
        <v>127</v>
      </c>
      <c r="X86" s="14"/>
      <c r="Y86" s="1225" t="s">
        <v>48</v>
      </c>
    </row>
    <row r="87" spans="1:25" s="37" customFormat="1" ht="92.15" customHeight="1">
      <c r="A87" s="1253"/>
      <c r="C87" s="175" t="s">
        <v>116</v>
      </c>
      <c r="D87" s="258" t="e">
        <f>D86/VLOOKUP(A86,#REF!,7,0)</f>
        <v>#REF!</v>
      </c>
      <c r="E87" s="1185"/>
      <c r="F87" s="1185"/>
      <c r="G87" s="317"/>
      <c r="H87" s="1185"/>
      <c r="I87" s="303"/>
      <c r="J87" s="303"/>
      <c r="L87" s="175" t="s">
        <v>116</v>
      </c>
      <c r="M87" s="326"/>
      <c r="N87" s="279" t="e">
        <f>N86/VLOOKUP(A86,#REF!,7,0)</f>
        <v>#REF!</v>
      </c>
      <c r="O87" s="1219"/>
      <c r="Q87" s="175" t="s">
        <v>116</v>
      </c>
      <c r="R87" s="349" t="e">
        <f>R86/VLOOKUP(A86,#REF!,7,0)</f>
        <v>#REF!</v>
      </c>
      <c r="S87" s="1219"/>
      <c r="T87" s="324"/>
      <c r="U87" s="324"/>
      <c r="W87" s="1185"/>
      <c r="Y87" s="1226"/>
    </row>
    <row r="88" spans="1:25" ht="92.15" customHeight="1">
      <c r="A88" s="1254"/>
      <c r="B88" s="12"/>
      <c r="C88" s="53" t="s">
        <v>117</v>
      </c>
      <c r="D88" s="252" t="e">
        <f>((D86/#REF!))*100</f>
        <v>#REF!</v>
      </c>
      <c r="E88" s="341"/>
      <c r="F88" s="1186"/>
      <c r="G88" s="336"/>
      <c r="H88" s="1186"/>
      <c r="I88" s="304"/>
      <c r="J88" s="304"/>
      <c r="K88" s="12"/>
      <c r="L88" s="53" t="s">
        <v>117</v>
      </c>
      <c r="M88" s="57"/>
      <c r="N88" s="273" t="e">
        <f>((N86/#REF!))*100</f>
        <v>#REF!</v>
      </c>
      <c r="O88" s="1186"/>
      <c r="P88" s="12"/>
      <c r="Q88" s="53" t="s">
        <v>117</v>
      </c>
      <c r="R88" s="252" t="e">
        <f>((R86/#REF!))*100</f>
        <v>#REF!</v>
      </c>
      <c r="S88" s="1186"/>
      <c r="T88" s="304"/>
      <c r="U88" s="304"/>
      <c r="V88" s="52"/>
      <c r="W88" s="1186"/>
      <c r="X88" s="52"/>
      <c r="Y88" s="1227"/>
    </row>
    <row r="89" spans="1:25" s="37" customFormat="1" ht="50.15" customHeight="1">
      <c r="A89" s="1253" t="s">
        <v>31</v>
      </c>
      <c r="B89" s="14"/>
      <c r="C89" s="38" t="s">
        <v>115</v>
      </c>
      <c r="D89" s="255">
        <v>34.4</v>
      </c>
      <c r="E89" s="325"/>
      <c r="F89" s="1184" t="s">
        <v>311</v>
      </c>
      <c r="G89" s="316"/>
      <c r="H89" s="1184" t="s">
        <v>313</v>
      </c>
      <c r="I89" s="302"/>
      <c r="J89" s="302"/>
      <c r="K89" s="14"/>
      <c r="L89" s="175" t="s">
        <v>115</v>
      </c>
      <c r="M89" s="325"/>
      <c r="N89" s="274">
        <v>20</v>
      </c>
      <c r="O89" s="1184" t="s">
        <v>338</v>
      </c>
      <c r="P89" s="14"/>
      <c r="Q89" s="175" t="s">
        <v>115</v>
      </c>
      <c r="R89" s="348"/>
      <c r="S89" s="1184"/>
      <c r="T89" s="302"/>
      <c r="U89" s="302"/>
      <c r="V89" s="14"/>
      <c r="W89" s="302"/>
      <c r="X89" s="14"/>
      <c r="Y89" s="302"/>
    </row>
    <row r="90" spans="1:25" s="343" customFormat="1" ht="50.15" customHeight="1">
      <c r="A90" s="1253"/>
      <c r="B90" s="37"/>
      <c r="C90" s="175" t="s">
        <v>116</v>
      </c>
      <c r="D90" s="251" t="e">
        <f>D89/VLOOKUP(A89,#REF!,7,0)</f>
        <v>#REF!</v>
      </c>
      <c r="E90" s="326"/>
      <c r="F90" s="1185"/>
      <c r="G90" s="317"/>
      <c r="H90" s="1219"/>
      <c r="I90" s="324"/>
      <c r="J90" s="324"/>
      <c r="K90" s="37"/>
      <c r="L90" s="175" t="s">
        <v>116</v>
      </c>
      <c r="M90" s="326"/>
      <c r="N90" s="266" t="e">
        <f>N89/VLOOKUP(A89,#REF!,7,0)</f>
        <v>#REF!</v>
      </c>
      <c r="O90" s="1185"/>
      <c r="P90" s="37"/>
      <c r="Q90" s="175" t="s">
        <v>116</v>
      </c>
      <c r="R90" s="349"/>
      <c r="S90" s="1185"/>
      <c r="T90" s="303"/>
      <c r="U90" s="303"/>
      <c r="V90" s="37"/>
      <c r="W90" s="303"/>
      <c r="X90" s="37"/>
      <c r="Y90" s="303"/>
    </row>
    <row r="91" spans="1:25" ht="50.15" customHeight="1">
      <c r="A91" s="1254"/>
      <c r="B91" s="35"/>
      <c r="C91" s="175" t="s">
        <v>117</v>
      </c>
      <c r="D91" s="258" t="e">
        <f>(D89/VLOOKUP(A89,#REF!,4,0))*100</f>
        <v>#REF!</v>
      </c>
      <c r="E91" s="340"/>
      <c r="F91" s="1186"/>
      <c r="G91" s="329"/>
      <c r="H91" s="1186"/>
      <c r="I91" s="303"/>
      <c r="J91" s="303"/>
      <c r="K91" s="35"/>
      <c r="L91" s="175" t="s">
        <v>117</v>
      </c>
      <c r="M91" s="58"/>
      <c r="N91" s="269" t="e">
        <f>(N89/VLOOKUP(A89,#REF!,4,0))*100</f>
        <v>#REF!</v>
      </c>
      <c r="O91" s="1186"/>
      <c r="P91" s="35"/>
      <c r="Q91" s="175" t="s">
        <v>117</v>
      </c>
      <c r="R91" s="258"/>
      <c r="S91" s="1186"/>
      <c r="T91" s="303"/>
      <c r="U91" s="303"/>
      <c r="W91" s="303"/>
      <c r="Y91" s="331"/>
    </row>
    <row r="92" spans="1:25" s="15" customFormat="1" ht="70" customHeight="1">
      <c r="A92" s="1253" t="s">
        <v>21</v>
      </c>
      <c r="C92" s="38" t="s">
        <v>115</v>
      </c>
      <c r="D92" s="255">
        <v>103</v>
      </c>
      <c r="E92" s="1184"/>
      <c r="F92" s="8"/>
      <c r="G92" s="319"/>
      <c r="H92" s="1184" t="s">
        <v>156</v>
      </c>
      <c r="I92" s="302"/>
      <c r="J92" s="302"/>
      <c r="L92" s="38" t="s">
        <v>115</v>
      </c>
      <c r="M92" s="8"/>
      <c r="N92" s="268"/>
      <c r="O92" s="22"/>
      <c r="Q92" s="38" t="s">
        <v>115</v>
      </c>
      <c r="R92" s="253">
        <v>235</v>
      </c>
      <c r="S92" s="1184" t="s">
        <v>306</v>
      </c>
      <c r="T92" s="302"/>
      <c r="U92" s="302"/>
      <c r="W92" s="22"/>
      <c r="Y92" s="302"/>
    </row>
    <row r="93" spans="1:25" s="37" customFormat="1" ht="70" customHeight="1">
      <c r="A93" s="1253"/>
      <c r="B93" s="55"/>
      <c r="C93" s="175" t="s">
        <v>116</v>
      </c>
      <c r="D93" s="251" t="e">
        <f>D92/VLOOKUP(A92,#REF!,7,0)</f>
        <v>#REF!</v>
      </c>
      <c r="E93" s="1185"/>
      <c r="F93" s="39"/>
      <c r="G93" s="320"/>
      <c r="H93" s="1185"/>
      <c r="I93" s="303"/>
      <c r="J93" s="303"/>
      <c r="K93" s="55"/>
      <c r="L93" s="175" t="s">
        <v>116</v>
      </c>
      <c r="M93" s="39"/>
      <c r="N93" s="269"/>
      <c r="O93" s="58"/>
      <c r="P93" s="55"/>
      <c r="Q93" s="175" t="s">
        <v>116</v>
      </c>
      <c r="R93" s="251" t="e">
        <f>R92/VLOOKUP(A92,#REF!,7,0)</f>
        <v>#REF!</v>
      </c>
      <c r="S93" s="1185"/>
      <c r="T93" s="303"/>
      <c r="U93" s="303"/>
      <c r="V93" s="55"/>
      <c r="W93" s="58"/>
      <c r="X93" s="55"/>
      <c r="Y93" s="303"/>
    </row>
    <row r="94" spans="1:25" ht="70" customHeight="1">
      <c r="A94" s="1254"/>
      <c r="B94" s="12"/>
      <c r="C94" s="53" t="s">
        <v>117</v>
      </c>
      <c r="D94" s="252" t="e">
        <f>(D92/VLOOKUP(A92,#REF!,4,0))*100</f>
        <v>#REF!</v>
      </c>
      <c r="E94" s="341"/>
      <c r="F94" s="327"/>
      <c r="G94" s="336"/>
      <c r="H94" s="1186"/>
      <c r="I94" s="304"/>
      <c r="J94" s="304"/>
      <c r="K94" s="12"/>
      <c r="L94" s="53" t="s">
        <v>117</v>
      </c>
      <c r="M94" s="57"/>
      <c r="N94" s="267"/>
      <c r="O94" s="57"/>
      <c r="P94" s="12"/>
      <c r="Q94" s="53" t="s">
        <v>117</v>
      </c>
      <c r="R94" s="252" t="e">
        <f>(R92/VLOOKUP(A92,#REF!,4,0))*100</f>
        <v>#REF!</v>
      </c>
      <c r="S94" s="1186"/>
      <c r="T94" s="304"/>
      <c r="U94" s="304"/>
      <c r="V94" s="52"/>
      <c r="W94" s="304"/>
      <c r="X94" s="52"/>
      <c r="Y94" s="332"/>
    </row>
    <row r="95" spans="1:25">
      <c r="A95" s="150"/>
      <c r="B95" s="35"/>
      <c r="C95" s="45"/>
      <c r="E95" s="152"/>
      <c r="F95" s="37"/>
      <c r="G95" s="153"/>
      <c r="H95" s="343"/>
      <c r="I95" s="343"/>
      <c r="J95" s="343"/>
      <c r="K95" s="35"/>
      <c r="L95" s="45"/>
      <c r="M95" s="35"/>
      <c r="P95" s="35"/>
      <c r="Q95" s="45"/>
      <c r="S95" s="343"/>
      <c r="T95" s="343"/>
      <c r="U95" s="343"/>
      <c r="W95" s="343"/>
      <c r="Y95" s="337"/>
    </row>
    <row r="96" spans="1:25" s="2" customFormat="1" ht="13">
      <c r="A96" s="236" t="s">
        <v>137</v>
      </c>
      <c r="B96" s="237"/>
      <c r="C96" s="236"/>
      <c r="D96" s="238"/>
      <c r="E96" s="239"/>
      <c r="F96" s="237"/>
      <c r="G96" s="240"/>
      <c r="H96" s="241"/>
      <c r="I96" s="241"/>
      <c r="J96" s="241"/>
      <c r="K96" s="237"/>
      <c r="L96" s="241"/>
      <c r="M96" s="237"/>
      <c r="N96" s="280"/>
      <c r="O96" s="241"/>
      <c r="P96" s="237"/>
      <c r="Q96" s="241"/>
      <c r="R96" s="288"/>
      <c r="S96" s="241"/>
      <c r="T96" s="241"/>
      <c r="U96" s="241"/>
      <c r="V96" s="52"/>
      <c r="W96" s="304"/>
      <c r="X96" s="52"/>
      <c r="Y96" s="332"/>
    </row>
    <row r="97" spans="1:25" s="37" customFormat="1" ht="56.15" customHeight="1">
      <c r="A97" s="1253" t="s">
        <v>41</v>
      </c>
      <c r="C97" s="175" t="s">
        <v>115</v>
      </c>
      <c r="D97" s="349">
        <v>12</v>
      </c>
      <c r="E97" s="1220">
        <v>3.5</v>
      </c>
      <c r="F97" s="1220" t="s">
        <v>315</v>
      </c>
      <c r="G97" s="317">
        <f>12-3.5</f>
        <v>8.5</v>
      </c>
      <c r="H97" s="1184" t="s">
        <v>291</v>
      </c>
      <c r="I97" s="303"/>
      <c r="J97" s="303"/>
      <c r="L97" s="175" t="s">
        <v>115</v>
      </c>
      <c r="M97" s="326"/>
      <c r="N97" s="277"/>
      <c r="O97" s="303"/>
      <c r="Q97" s="175" t="s">
        <v>115</v>
      </c>
      <c r="R97" s="257">
        <v>11</v>
      </c>
      <c r="S97" s="1184" t="s">
        <v>339</v>
      </c>
      <c r="T97" s="303"/>
      <c r="U97" s="303"/>
      <c r="W97" s="303"/>
      <c r="Y97" s="303"/>
    </row>
    <row r="98" spans="1:25" ht="40" customHeight="1">
      <c r="A98" s="1253"/>
      <c r="B98" s="37"/>
      <c r="C98" s="175" t="s">
        <v>116</v>
      </c>
      <c r="D98" s="258" t="e">
        <f>D97/VLOOKUP(A97,#REF!,7,0)</f>
        <v>#REF!</v>
      </c>
      <c r="E98" s="1221"/>
      <c r="F98" s="1221"/>
      <c r="G98" s="317"/>
      <c r="H98" s="1185"/>
      <c r="I98" s="303"/>
      <c r="J98" s="303"/>
      <c r="K98" s="37"/>
      <c r="L98" s="175" t="s">
        <v>116</v>
      </c>
      <c r="M98" s="326"/>
      <c r="N98" s="277"/>
      <c r="O98" s="303"/>
      <c r="P98" s="37"/>
      <c r="Q98" s="175" t="s">
        <v>116</v>
      </c>
      <c r="R98" s="258" t="e">
        <f>R97/VLOOKUP(A97,#REF!,7,0)</f>
        <v>#REF!</v>
      </c>
      <c r="S98" s="1185"/>
      <c r="T98" s="303"/>
      <c r="U98" s="303"/>
      <c r="V98" s="37"/>
      <c r="W98" s="303"/>
      <c r="X98" s="37"/>
      <c r="Y98" s="303"/>
    </row>
    <row r="99" spans="1:25" ht="60.65" customHeight="1">
      <c r="A99" s="1254"/>
      <c r="B99" s="12"/>
      <c r="C99" s="53" t="s">
        <v>117</v>
      </c>
      <c r="D99" s="252" t="e">
        <f>(D97/VLOOKUP(A97,#REF!,4,0))*100</f>
        <v>#REF!</v>
      </c>
      <c r="E99" s="341"/>
      <c r="F99" s="1222"/>
      <c r="G99" s="336"/>
      <c r="H99" s="1186"/>
      <c r="I99" s="304"/>
      <c r="J99" s="304"/>
      <c r="K99" s="12"/>
      <c r="L99" s="53" t="s">
        <v>117</v>
      </c>
      <c r="M99" s="57"/>
      <c r="N99" s="267"/>
      <c r="O99" s="57"/>
      <c r="P99" s="12"/>
      <c r="Q99" s="53" t="s">
        <v>117</v>
      </c>
      <c r="R99" s="252" t="e">
        <f>(R97/VLOOKUP(A97,#REF!,4,0))*100</f>
        <v>#REF!</v>
      </c>
      <c r="S99" s="1186"/>
      <c r="T99" s="304"/>
      <c r="U99" s="304"/>
      <c r="V99" s="52"/>
      <c r="W99" s="304"/>
      <c r="X99" s="52"/>
      <c r="Y99" s="332"/>
    </row>
    <row r="100" spans="1:25" ht="40" customHeight="1">
      <c r="A100" s="1253" t="s">
        <v>27</v>
      </c>
      <c r="B100" s="15"/>
      <c r="C100" s="38" t="s">
        <v>115</v>
      </c>
      <c r="D100" s="348">
        <f>1.42+0.47</f>
        <v>1.89</v>
      </c>
      <c r="E100" s="9"/>
      <c r="F100" s="1193" t="s">
        <v>316</v>
      </c>
      <c r="G100" s="319"/>
      <c r="H100" s="1184" t="s">
        <v>240</v>
      </c>
      <c r="I100" s="302"/>
      <c r="J100" s="302"/>
      <c r="K100" s="15"/>
      <c r="L100" s="175" t="s">
        <v>115</v>
      </c>
      <c r="M100" s="8"/>
      <c r="N100" s="268">
        <v>0.7</v>
      </c>
      <c r="O100" s="1202" t="s">
        <v>314</v>
      </c>
      <c r="P100" s="15"/>
      <c r="Q100" s="175" t="s">
        <v>115</v>
      </c>
      <c r="R100" s="286"/>
      <c r="S100" s="22"/>
      <c r="T100" s="22"/>
      <c r="U100" s="22"/>
      <c r="V100" s="15"/>
      <c r="W100" s="1184" t="s">
        <v>78</v>
      </c>
      <c r="X100" s="15"/>
      <c r="Y100" s="302"/>
    </row>
    <row r="101" spans="1:25" s="35" customFormat="1" ht="40" customHeight="1">
      <c r="A101" s="1253"/>
      <c r="B101" s="55"/>
      <c r="C101" s="175" t="s">
        <v>116</v>
      </c>
      <c r="D101" s="258" t="e">
        <f>D100/VLOOKUP(A100,#REF!,7,0)</f>
        <v>#REF!</v>
      </c>
      <c r="E101" s="41"/>
      <c r="F101" s="1203"/>
      <c r="G101" s="320"/>
      <c r="H101" s="1185"/>
      <c r="I101" s="303"/>
      <c r="J101" s="303"/>
      <c r="K101" s="55"/>
      <c r="L101" s="175" t="s">
        <v>116</v>
      </c>
      <c r="M101" s="39"/>
      <c r="N101" s="269" t="e">
        <f>N100/VLOOKUP(A100,#REF!,7,0)</f>
        <v>#REF!</v>
      </c>
      <c r="O101" s="1203"/>
      <c r="P101" s="55"/>
      <c r="Q101" s="175" t="s">
        <v>116</v>
      </c>
      <c r="R101" s="258"/>
      <c r="S101" s="58"/>
      <c r="T101" s="58"/>
      <c r="U101" s="58"/>
      <c r="V101" s="55"/>
      <c r="W101" s="1185"/>
      <c r="X101" s="55"/>
      <c r="Y101" s="303"/>
    </row>
    <row r="102" spans="1:25" ht="40" customHeight="1">
      <c r="A102" s="1254"/>
      <c r="B102" s="12"/>
      <c r="C102" s="53" t="s">
        <v>117</v>
      </c>
      <c r="D102" s="252" t="e">
        <f>(D100/VLOOKUP(A100,#REF!,4,0))*100</f>
        <v>#REF!</v>
      </c>
      <c r="E102" s="341"/>
      <c r="F102" s="1204"/>
      <c r="G102" s="336"/>
      <c r="H102" s="1186"/>
      <c r="I102" s="304"/>
      <c r="J102" s="304"/>
      <c r="K102" s="12"/>
      <c r="L102" s="53" t="s">
        <v>117</v>
      </c>
      <c r="M102" s="57"/>
      <c r="N102" s="267" t="e">
        <f>(N100/VLOOKUP(A100,#REF!,4,0))*100</f>
        <v>#REF!</v>
      </c>
      <c r="O102" s="1204"/>
      <c r="P102" s="12"/>
      <c r="Q102" s="53" t="s">
        <v>117</v>
      </c>
      <c r="R102" s="252"/>
      <c r="S102" s="304"/>
      <c r="T102" s="304"/>
      <c r="U102" s="304"/>
      <c r="V102" s="52"/>
      <c r="W102" s="1186"/>
      <c r="X102" s="52"/>
      <c r="Y102" s="332"/>
    </row>
    <row r="103" spans="1:25" s="35" customFormat="1" ht="55" customHeight="1">
      <c r="A103" s="1253" t="s">
        <v>42</v>
      </c>
      <c r="B103" s="16"/>
      <c r="C103" s="38" t="s">
        <v>115</v>
      </c>
      <c r="D103" s="186">
        <v>3750</v>
      </c>
      <c r="E103" s="22"/>
      <c r="F103" s="1220" t="s">
        <v>292</v>
      </c>
      <c r="G103" s="319"/>
      <c r="H103" s="1184" t="s">
        <v>243</v>
      </c>
      <c r="I103" s="302"/>
      <c r="J103" s="302"/>
      <c r="K103" s="16"/>
      <c r="L103" s="175" t="s">
        <v>115</v>
      </c>
      <c r="M103" s="22"/>
      <c r="N103" s="281">
        <v>1950</v>
      </c>
      <c r="O103" s="1184" t="s">
        <v>301</v>
      </c>
      <c r="P103" s="16"/>
      <c r="Q103" s="175" t="s">
        <v>115</v>
      </c>
      <c r="R103" s="286"/>
      <c r="S103" s="22"/>
      <c r="T103" s="22"/>
      <c r="U103" s="22"/>
      <c r="V103" s="16"/>
      <c r="W103" s="1184" t="s">
        <v>244</v>
      </c>
      <c r="X103" s="16"/>
      <c r="Y103" s="1225" t="s">
        <v>50</v>
      </c>
    </row>
    <row r="104" spans="1:25" s="37" customFormat="1" ht="55" customHeight="1">
      <c r="A104" s="1253"/>
      <c r="B104" s="35"/>
      <c r="C104" s="175" t="s">
        <v>116</v>
      </c>
      <c r="D104" s="258" t="e">
        <f>D103/VLOOKUP(A103,#REF!,7,0)</f>
        <v>#REF!</v>
      </c>
      <c r="E104" s="58"/>
      <c r="F104" s="1221"/>
      <c r="G104" s="320"/>
      <c r="H104" s="1185"/>
      <c r="I104" s="303"/>
      <c r="J104" s="303"/>
      <c r="K104" s="35"/>
      <c r="L104" s="175" t="s">
        <v>116</v>
      </c>
      <c r="M104" s="58"/>
      <c r="N104" s="269" t="e">
        <f>N103/VLOOKUP(A103,#REF!,7,0)</f>
        <v>#REF!</v>
      </c>
      <c r="O104" s="1185"/>
      <c r="P104" s="35"/>
      <c r="Q104" s="175" t="s">
        <v>116</v>
      </c>
      <c r="R104" s="258"/>
      <c r="S104" s="58"/>
      <c r="T104" s="58"/>
      <c r="U104" s="58"/>
      <c r="V104" s="35"/>
      <c r="W104" s="1185"/>
      <c r="X104" s="35"/>
      <c r="Y104" s="1226"/>
    </row>
    <row r="105" spans="1:25" ht="55" customHeight="1">
      <c r="A105" s="1254"/>
      <c r="B105" s="12"/>
      <c r="C105" s="53" t="s">
        <v>117</v>
      </c>
      <c r="D105" s="252" t="e">
        <f>(D103/VLOOKUP(A103,#REF!,4,0))*100</f>
        <v>#REF!</v>
      </c>
      <c r="E105" s="341"/>
      <c r="F105" s="1222"/>
      <c r="G105" s="336"/>
      <c r="H105" s="1186"/>
      <c r="I105" s="304"/>
      <c r="J105" s="304"/>
      <c r="K105" s="12"/>
      <c r="L105" s="53" t="s">
        <v>117</v>
      </c>
      <c r="M105" s="57"/>
      <c r="N105" s="267" t="e">
        <f>(N103/VLOOKUP(A103,#REF!,4,0))*100</f>
        <v>#REF!</v>
      </c>
      <c r="O105" s="1186"/>
      <c r="P105" s="12"/>
      <c r="Q105" s="53" t="s">
        <v>117</v>
      </c>
      <c r="R105" s="252"/>
      <c r="S105" s="304"/>
      <c r="T105" s="304"/>
      <c r="U105" s="304"/>
      <c r="V105" s="52"/>
      <c r="W105" s="1186"/>
      <c r="X105" s="52"/>
      <c r="Y105" s="1227"/>
    </row>
    <row r="106" spans="1:25" s="35" customFormat="1" ht="50.15" customHeight="1">
      <c r="A106" s="1253" t="s">
        <v>34</v>
      </c>
      <c r="B106" s="16"/>
      <c r="C106" s="38" t="s">
        <v>115</v>
      </c>
      <c r="D106" s="186" t="s">
        <v>84</v>
      </c>
      <c r="E106" s="22"/>
      <c r="F106" s="1220" t="s">
        <v>317</v>
      </c>
      <c r="G106" s="319"/>
      <c r="H106" s="1184" t="s">
        <v>319</v>
      </c>
      <c r="I106" s="302"/>
      <c r="J106" s="302"/>
      <c r="K106" s="16"/>
      <c r="L106" s="175" t="s">
        <v>115</v>
      </c>
      <c r="M106" s="22"/>
      <c r="N106" s="270">
        <v>320</v>
      </c>
      <c r="O106" s="1228" t="s">
        <v>318</v>
      </c>
      <c r="P106" s="16"/>
      <c r="Q106" s="175" t="s">
        <v>115</v>
      </c>
      <c r="R106" s="286"/>
      <c r="S106" s="22"/>
      <c r="T106" s="22"/>
      <c r="U106" s="22"/>
      <c r="V106" s="16"/>
      <c r="W106" s="22"/>
      <c r="X106" s="16"/>
      <c r="Y106" s="302"/>
    </row>
    <row r="107" spans="1:25" s="35" customFormat="1" ht="50.15" customHeight="1">
      <c r="A107" s="1253"/>
      <c r="C107" s="175" t="s">
        <v>116</v>
      </c>
      <c r="D107" s="258"/>
      <c r="E107" s="58"/>
      <c r="F107" s="1221"/>
      <c r="G107" s="320"/>
      <c r="H107" s="1185"/>
      <c r="I107" s="303"/>
      <c r="J107" s="303"/>
      <c r="L107" s="175" t="s">
        <v>116</v>
      </c>
      <c r="M107" s="58"/>
      <c r="N107" s="269" t="e">
        <f>N106/#REF!</f>
        <v>#REF!</v>
      </c>
      <c r="O107" s="1185"/>
      <c r="Q107" s="175" t="s">
        <v>116</v>
      </c>
      <c r="R107" s="258"/>
      <c r="S107" s="58"/>
      <c r="T107" s="58"/>
      <c r="U107" s="58"/>
      <c r="W107" s="58"/>
      <c r="Y107" s="303"/>
    </row>
    <row r="108" spans="1:25" ht="50.15" customHeight="1">
      <c r="A108" s="1254"/>
      <c r="B108" s="12"/>
      <c r="C108" s="53" t="s">
        <v>117</v>
      </c>
      <c r="D108" s="252"/>
      <c r="E108" s="341"/>
      <c r="F108" s="1222"/>
      <c r="G108" s="336"/>
      <c r="H108" s="1186"/>
      <c r="I108" s="304"/>
      <c r="J108" s="304"/>
      <c r="K108" s="12"/>
      <c r="L108" s="53" t="s">
        <v>117</v>
      </c>
      <c r="M108" s="57"/>
      <c r="N108" s="267" t="e">
        <f>N106/#REF!*100</f>
        <v>#REF!</v>
      </c>
      <c r="O108" s="1186"/>
      <c r="P108" s="12"/>
      <c r="Q108" s="53" t="s">
        <v>117</v>
      </c>
      <c r="R108" s="252"/>
      <c r="S108" s="304"/>
      <c r="T108" s="304"/>
      <c r="U108" s="304"/>
      <c r="V108" s="52"/>
      <c r="W108" s="304"/>
      <c r="X108" s="52"/>
      <c r="Y108" s="332"/>
    </row>
    <row r="109" spans="1:25" s="37" customFormat="1" ht="95.15" customHeight="1">
      <c r="A109" s="1253" t="s">
        <v>23</v>
      </c>
      <c r="B109" s="14"/>
      <c r="C109" s="38" t="s">
        <v>115</v>
      </c>
      <c r="D109" s="255">
        <v>100</v>
      </c>
      <c r="E109" s="1184" t="s">
        <v>246</v>
      </c>
      <c r="F109" s="1193" t="s">
        <v>320</v>
      </c>
      <c r="G109" s="316">
        <f>100-3.8</f>
        <v>96.2</v>
      </c>
      <c r="H109" s="1184" t="s">
        <v>321</v>
      </c>
      <c r="I109" s="302"/>
      <c r="J109" s="302"/>
      <c r="K109" s="14"/>
      <c r="L109" s="175" t="s">
        <v>115</v>
      </c>
      <c r="M109" s="325"/>
      <c r="N109" s="274"/>
      <c r="O109" s="1202" t="s">
        <v>322</v>
      </c>
      <c r="P109" s="14"/>
      <c r="Q109" s="175" t="s">
        <v>115</v>
      </c>
      <c r="R109" s="348"/>
      <c r="S109" s="1184"/>
      <c r="T109" s="302"/>
      <c r="U109" s="302"/>
      <c r="V109" s="14"/>
      <c r="W109" s="302"/>
      <c r="X109" s="14"/>
      <c r="Y109" s="302"/>
    </row>
    <row r="110" spans="1:25" s="37" customFormat="1" ht="95.15" customHeight="1">
      <c r="A110" s="1253"/>
      <c r="C110" s="175" t="s">
        <v>116</v>
      </c>
      <c r="D110" s="258" t="e">
        <f>D109/VLOOKUP(A109,#REF!,7,0)</f>
        <v>#REF!</v>
      </c>
      <c r="E110" s="1185"/>
      <c r="F110" s="1203"/>
      <c r="G110" s="317"/>
      <c r="H110" s="1185"/>
      <c r="I110" s="303"/>
      <c r="J110" s="303"/>
      <c r="L110" s="175" t="s">
        <v>116</v>
      </c>
      <c r="M110" s="326"/>
      <c r="N110" s="277"/>
      <c r="O110" s="1203"/>
      <c r="Q110" s="175" t="s">
        <v>116</v>
      </c>
      <c r="R110" s="349"/>
      <c r="S110" s="1185"/>
      <c r="T110" s="303"/>
      <c r="U110" s="303"/>
      <c r="W110" s="303"/>
      <c r="Y110" s="303"/>
    </row>
    <row r="111" spans="1:25" ht="95.15" customHeight="1">
      <c r="A111" s="1254"/>
      <c r="B111" s="12"/>
      <c r="C111" s="53" t="s">
        <v>117</v>
      </c>
      <c r="D111" s="252" t="e">
        <f>(D109/VLOOKUP(A109,#REF!,4,0))*100</f>
        <v>#REF!</v>
      </c>
      <c r="E111" s="341"/>
      <c r="F111" s="1204"/>
      <c r="G111" s="336"/>
      <c r="H111" s="1186"/>
      <c r="I111" s="304"/>
      <c r="J111" s="304"/>
      <c r="K111" s="12"/>
      <c r="L111" s="53" t="s">
        <v>117</v>
      </c>
      <c r="M111" s="57"/>
      <c r="N111" s="267"/>
      <c r="O111" s="1204"/>
      <c r="P111" s="12"/>
      <c r="Q111" s="53" t="s">
        <v>117</v>
      </c>
      <c r="R111" s="252"/>
      <c r="S111" s="1186"/>
      <c r="T111" s="304"/>
      <c r="U111" s="304"/>
      <c r="V111" s="52"/>
      <c r="W111" s="304"/>
      <c r="X111" s="52"/>
      <c r="Y111" s="332"/>
    </row>
    <row r="112" spans="1:25" s="343" customFormat="1" ht="55" customHeight="1">
      <c r="A112" s="1253" t="s">
        <v>35</v>
      </c>
      <c r="B112" s="342"/>
      <c r="C112" s="38" t="s">
        <v>115</v>
      </c>
      <c r="D112" s="186">
        <v>1400</v>
      </c>
      <c r="E112" s="302"/>
      <c r="F112" s="1184" t="s">
        <v>323</v>
      </c>
      <c r="G112" s="316"/>
      <c r="H112" s="1184" t="s">
        <v>293</v>
      </c>
      <c r="I112" s="302"/>
      <c r="J112" s="302"/>
      <c r="K112" s="342"/>
      <c r="L112" s="38" t="s">
        <v>115</v>
      </c>
      <c r="M112" s="302"/>
      <c r="N112" s="274">
        <v>1900</v>
      </c>
      <c r="O112" s="1184" t="s">
        <v>340</v>
      </c>
      <c r="P112" s="342"/>
      <c r="Q112" s="38" t="s">
        <v>115</v>
      </c>
      <c r="R112" s="348"/>
      <c r="S112" s="1199"/>
      <c r="T112" s="316"/>
      <c r="U112" s="316"/>
      <c r="V112" s="342"/>
      <c r="W112" s="302"/>
      <c r="X112" s="342"/>
      <c r="Y112" s="302"/>
    </row>
    <row r="113" spans="1:25" s="343" customFormat="1" ht="55" customHeight="1">
      <c r="A113" s="1253"/>
      <c r="C113" s="175" t="s">
        <v>116</v>
      </c>
      <c r="D113" s="258" t="e">
        <f>D112/VLOOKUP(A112,#REF!,7,0)</f>
        <v>#REF!</v>
      </c>
      <c r="E113" s="303"/>
      <c r="F113" s="1185"/>
      <c r="G113" s="317"/>
      <c r="H113" s="1185"/>
      <c r="I113" s="303"/>
      <c r="J113" s="303"/>
      <c r="L113" s="175" t="s">
        <v>116</v>
      </c>
      <c r="M113" s="303"/>
      <c r="N113" s="269" t="e">
        <f>N112/VLOOKUP(A112,#REF!,7,0)</f>
        <v>#REF!</v>
      </c>
      <c r="O113" s="1185"/>
      <c r="Q113" s="175" t="s">
        <v>116</v>
      </c>
      <c r="R113" s="349"/>
      <c r="S113" s="1200"/>
      <c r="T113" s="317"/>
      <c r="U113" s="317"/>
      <c r="W113" s="303"/>
      <c r="Y113" s="303"/>
    </row>
    <row r="114" spans="1:25" ht="55" customHeight="1">
      <c r="A114" s="1254"/>
      <c r="B114" s="12"/>
      <c r="C114" s="53" t="s">
        <v>117</v>
      </c>
      <c r="D114" s="252" t="e">
        <f>(D112/VLOOKUP(A112,#REF!,4,0))*100</f>
        <v>#REF!</v>
      </c>
      <c r="E114" s="341"/>
      <c r="F114" s="1186"/>
      <c r="G114" s="336"/>
      <c r="H114" s="1186"/>
      <c r="I114" s="304"/>
      <c r="J114" s="304"/>
      <c r="K114" s="12"/>
      <c r="L114" s="53" t="s">
        <v>95</v>
      </c>
      <c r="M114" s="57"/>
      <c r="N114" s="267" t="e">
        <f>(N112/VLOOKUP(A112,#REF!,4,0))*100</f>
        <v>#REF!</v>
      </c>
      <c r="O114" s="1186"/>
      <c r="P114" s="12"/>
      <c r="Q114" s="53" t="s">
        <v>95</v>
      </c>
      <c r="R114" s="252"/>
      <c r="S114" s="1201"/>
      <c r="T114" s="318"/>
      <c r="U114" s="318"/>
      <c r="V114" s="52"/>
      <c r="W114" s="304"/>
      <c r="X114" s="52"/>
      <c r="Y114" s="332"/>
    </row>
    <row r="115" spans="1:25" ht="46.5" customHeight="1">
      <c r="A115" s="1253" t="s">
        <v>92</v>
      </c>
      <c r="B115" s="342"/>
      <c r="C115" s="38" t="s">
        <v>115</v>
      </c>
      <c r="D115" s="348">
        <v>1.1000000000000001</v>
      </c>
      <c r="E115" s="302">
        <v>0.20799999999999999</v>
      </c>
      <c r="F115" s="1184" t="s">
        <v>324</v>
      </c>
      <c r="G115" s="316">
        <f>4-2.9</f>
        <v>1.1000000000000001</v>
      </c>
      <c r="H115" s="1184" t="s">
        <v>124</v>
      </c>
      <c r="I115" s="302"/>
      <c r="J115" s="302"/>
      <c r="K115" s="342"/>
      <c r="L115" s="175" t="s">
        <v>115</v>
      </c>
      <c r="M115" s="302"/>
      <c r="N115" s="276">
        <v>2.9</v>
      </c>
      <c r="O115" s="1184" t="s">
        <v>302</v>
      </c>
      <c r="P115" s="342"/>
      <c r="Q115" s="175" t="s">
        <v>115</v>
      </c>
      <c r="R115" s="348"/>
      <c r="S115" s="1184"/>
      <c r="T115" s="302"/>
      <c r="U115" s="302"/>
      <c r="V115" s="342"/>
      <c r="W115" s="302"/>
      <c r="X115" s="342"/>
      <c r="Y115" s="302"/>
    </row>
    <row r="116" spans="1:25" ht="42.65" customHeight="1">
      <c r="A116" s="1253"/>
      <c r="B116" s="343"/>
      <c r="C116" s="175" t="s">
        <v>116</v>
      </c>
      <c r="D116" s="258" t="e">
        <f>D115/VLOOKUP(A115,#REF!,7,0)</f>
        <v>#REF!</v>
      </c>
      <c r="E116" s="303"/>
      <c r="F116" s="1185"/>
      <c r="G116" s="317"/>
      <c r="H116" s="1185"/>
      <c r="I116" s="303"/>
      <c r="J116" s="303"/>
      <c r="K116" s="343"/>
      <c r="L116" s="175" t="s">
        <v>116</v>
      </c>
      <c r="M116" s="303"/>
      <c r="N116" s="269" t="e">
        <f>N115/VLOOKUP(A115,#REF!,7,0)</f>
        <v>#REF!</v>
      </c>
      <c r="O116" s="1185"/>
      <c r="P116" s="343"/>
      <c r="Q116" s="175" t="s">
        <v>116</v>
      </c>
      <c r="R116" s="349"/>
      <c r="S116" s="1185"/>
      <c r="T116" s="303"/>
      <c r="U116" s="303"/>
      <c r="V116" s="343"/>
      <c r="W116" s="303"/>
      <c r="X116" s="343"/>
      <c r="Y116" s="303"/>
    </row>
    <row r="117" spans="1:25" ht="38">
      <c r="A117" s="1254"/>
      <c r="B117" s="12"/>
      <c r="C117" s="53" t="s">
        <v>117</v>
      </c>
      <c r="D117" s="252" t="e">
        <f>(D115/VLOOKUP(A115,#REF!,4,0))*100</f>
        <v>#REF!</v>
      </c>
      <c r="E117" s="341"/>
      <c r="F117" s="1186"/>
      <c r="G117" s="336"/>
      <c r="H117" s="1186"/>
      <c r="I117" s="304"/>
      <c r="J117" s="304"/>
      <c r="K117" s="12"/>
      <c r="L117" s="53" t="s">
        <v>117</v>
      </c>
      <c r="M117" s="57"/>
      <c r="N117" s="267" t="e">
        <f>(N115/VLOOKUP(A115,#REF!,4,0))*100</f>
        <v>#REF!</v>
      </c>
      <c r="O117" s="1186"/>
      <c r="P117" s="12"/>
      <c r="Q117" s="53" t="s">
        <v>117</v>
      </c>
      <c r="R117" s="252"/>
      <c r="S117" s="1186"/>
      <c r="T117" s="304"/>
      <c r="U117" s="304"/>
      <c r="V117" s="52"/>
      <c r="W117" s="304"/>
      <c r="X117" s="52"/>
      <c r="Y117" s="332"/>
    </row>
    <row r="118" spans="1:25" s="343" customFormat="1" ht="62.5" customHeight="1">
      <c r="A118" s="1253" t="s">
        <v>22</v>
      </c>
      <c r="B118" s="342"/>
      <c r="C118" s="38" t="s">
        <v>115</v>
      </c>
      <c r="D118" s="255">
        <v>68</v>
      </c>
      <c r="E118" s="1184" t="s">
        <v>253</v>
      </c>
      <c r="F118" s="1184" t="s">
        <v>325</v>
      </c>
      <c r="G118" s="316" t="s">
        <v>254</v>
      </c>
      <c r="H118" s="1184" t="s">
        <v>255</v>
      </c>
      <c r="I118" s="302"/>
      <c r="J118" s="302"/>
      <c r="K118" s="342"/>
      <c r="L118" s="175" t="s">
        <v>115</v>
      </c>
      <c r="M118" s="302"/>
      <c r="N118" s="276"/>
      <c r="O118" s="1184"/>
      <c r="P118" s="342"/>
      <c r="Q118" s="175" t="s">
        <v>115</v>
      </c>
      <c r="R118" s="117">
        <v>68</v>
      </c>
      <c r="S118" s="1184" t="s">
        <v>341</v>
      </c>
      <c r="T118" s="302"/>
      <c r="U118" s="302"/>
      <c r="V118" s="342"/>
      <c r="W118" s="199" t="s">
        <v>189</v>
      </c>
      <c r="X118" s="342"/>
      <c r="Y118" s="198" t="s">
        <v>188</v>
      </c>
    </row>
    <row r="119" spans="1:25" s="343" customFormat="1" ht="50.15" customHeight="1">
      <c r="A119" s="1253"/>
      <c r="C119" s="175" t="s">
        <v>116</v>
      </c>
      <c r="D119" s="251" t="e">
        <f>D118/VLOOKUP(A118,#REF!,7,0)</f>
        <v>#REF!</v>
      </c>
      <c r="E119" s="1185"/>
      <c r="F119" s="1185"/>
      <c r="G119" s="317"/>
      <c r="H119" s="1185"/>
      <c r="I119" s="303"/>
      <c r="J119" s="303"/>
      <c r="L119" s="175" t="s">
        <v>116</v>
      </c>
      <c r="M119" s="303"/>
      <c r="N119" s="277"/>
      <c r="O119" s="1185"/>
      <c r="Q119" s="175" t="s">
        <v>116</v>
      </c>
      <c r="R119" s="285" t="e">
        <f>R118/VLOOKUP(A118,#REF!,7,0)</f>
        <v>#REF!</v>
      </c>
      <c r="S119" s="1185"/>
      <c r="T119" s="303"/>
      <c r="U119" s="303"/>
      <c r="W119" s="303"/>
      <c r="Y119" s="303"/>
    </row>
    <row r="120" spans="1:25" ht="38">
      <c r="A120" s="1254"/>
      <c r="B120" s="12"/>
      <c r="C120" s="53" t="s">
        <v>117</v>
      </c>
      <c r="D120" s="252" t="e">
        <f>(D118/VLOOKUP(A118,#REF!,4,0))*100</f>
        <v>#REF!</v>
      </c>
      <c r="E120" s="341"/>
      <c r="F120" s="1186"/>
      <c r="G120" s="336"/>
      <c r="H120" s="1186"/>
      <c r="I120" s="304"/>
      <c r="J120" s="304"/>
      <c r="K120" s="12"/>
      <c r="L120" s="53" t="s">
        <v>117</v>
      </c>
      <c r="M120" s="57"/>
      <c r="N120" s="267"/>
      <c r="O120" s="1186"/>
      <c r="P120" s="12"/>
      <c r="Q120" s="53" t="s">
        <v>117</v>
      </c>
      <c r="R120" s="78" t="e">
        <f>(R118/VLOOKUP(A118,#REF!,4,0))*100</f>
        <v>#REF!</v>
      </c>
      <c r="S120" s="1186"/>
      <c r="T120" s="304"/>
      <c r="U120" s="304"/>
      <c r="V120" s="52"/>
      <c r="W120" s="304"/>
      <c r="X120" s="52"/>
      <c r="Y120" s="332"/>
    </row>
    <row r="121" spans="1:25" s="343" customFormat="1" ht="58" customHeight="1">
      <c r="A121" s="1253" t="s">
        <v>30</v>
      </c>
      <c r="B121" s="342"/>
      <c r="C121" s="38" t="s">
        <v>115</v>
      </c>
      <c r="D121" s="348">
        <v>2.0499999999999998</v>
      </c>
      <c r="E121" s="1184" t="s">
        <v>80</v>
      </c>
      <c r="F121" s="1184" t="s">
        <v>326</v>
      </c>
      <c r="G121" s="316">
        <f>2.05-0.33</f>
        <v>1.7199999999999998</v>
      </c>
      <c r="H121" s="1184" t="s">
        <v>131</v>
      </c>
      <c r="I121" s="302"/>
      <c r="J121" s="302"/>
      <c r="K121" s="342"/>
      <c r="L121" s="175" t="s">
        <v>115</v>
      </c>
      <c r="M121" s="302"/>
      <c r="N121" s="276">
        <f>0.3+0.04+0.5+0.1+0.132</f>
        <v>1.0720000000000001</v>
      </c>
      <c r="O121" s="1184" t="s">
        <v>307</v>
      </c>
      <c r="P121" s="342"/>
      <c r="Q121" s="175" t="s">
        <v>115</v>
      </c>
      <c r="R121" s="348">
        <v>0.5</v>
      </c>
      <c r="S121" s="1184" t="s">
        <v>342</v>
      </c>
      <c r="T121" s="302"/>
      <c r="U121" s="302"/>
      <c r="V121" s="342"/>
      <c r="W121" s="1184" t="s">
        <v>83</v>
      </c>
      <c r="X121" s="342"/>
      <c r="Y121" s="302"/>
    </row>
    <row r="122" spans="1:25" s="343" customFormat="1" ht="40" customHeight="1">
      <c r="A122" s="1253"/>
      <c r="C122" s="175" t="s">
        <v>116</v>
      </c>
      <c r="D122" s="258" t="e">
        <f>D121/VLOOKUP(A121,#REF!,7,0)</f>
        <v>#REF!</v>
      </c>
      <c r="E122" s="1185"/>
      <c r="F122" s="1185"/>
      <c r="G122" s="317"/>
      <c r="H122" s="1185"/>
      <c r="I122" s="303"/>
      <c r="J122" s="303"/>
      <c r="L122" s="175" t="s">
        <v>116</v>
      </c>
      <c r="M122" s="303"/>
      <c r="N122" s="269" t="e">
        <f>N121/VLOOKUP(A121,#REF!,7,0)</f>
        <v>#REF!</v>
      </c>
      <c r="O122" s="1185"/>
      <c r="Q122" s="175" t="s">
        <v>116</v>
      </c>
      <c r="R122" s="258" t="e">
        <f>R121/VLOOKUP(A121,#REF!,7,0)</f>
        <v>#REF!</v>
      </c>
      <c r="S122" s="1185"/>
      <c r="T122" s="303"/>
      <c r="U122" s="303"/>
      <c r="W122" s="1185"/>
      <c r="Y122" s="303"/>
    </row>
    <row r="123" spans="1:25" ht="93.65" customHeight="1">
      <c r="A123" s="1254"/>
      <c r="B123" s="12"/>
      <c r="C123" s="53" t="s">
        <v>117</v>
      </c>
      <c r="D123" s="252" t="e">
        <f>(D121/VLOOKUP(A121,#REF!,4,0))*100</f>
        <v>#REF!</v>
      </c>
      <c r="E123" s="341"/>
      <c r="F123" s="1186"/>
      <c r="G123" s="336"/>
      <c r="H123" s="1186"/>
      <c r="I123" s="304"/>
      <c r="J123" s="304"/>
      <c r="K123" s="12"/>
      <c r="L123" s="53" t="s">
        <v>117</v>
      </c>
      <c r="M123" s="57"/>
      <c r="N123" s="267" t="e">
        <f>(N121/VLOOKUP(A121,#REF!,4,0))*100</f>
        <v>#REF!</v>
      </c>
      <c r="O123" s="1186"/>
      <c r="P123" s="12"/>
      <c r="Q123" s="53" t="s">
        <v>117</v>
      </c>
      <c r="R123" s="252" t="e">
        <f>(R121/VLOOKUP(A121,#REF!,4,0))*100</f>
        <v>#REF!</v>
      </c>
      <c r="S123" s="1186"/>
      <c r="T123" s="304"/>
      <c r="U123" s="304"/>
      <c r="V123" s="52"/>
      <c r="W123" s="1186"/>
      <c r="X123" s="52"/>
      <c r="Y123" s="332"/>
    </row>
    <row r="124" spans="1:25" s="343" customFormat="1" ht="57" customHeight="1">
      <c r="A124" s="1253" t="s">
        <v>56</v>
      </c>
      <c r="B124" s="342"/>
      <c r="C124" s="38" t="s">
        <v>115</v>
      </c>
      <c r="D124" s="255">
        <v>26.5</v>
      </c>
      <c r="E124" s="1184"/>
      <c r="F124" s="1184" t="s">
        <v>327</v>
      </c>
      <c r="G124" s="316"/>
      <c r="H124" s="1184" t="s">
        <v>294</v>
      </c>
      <c r="I124" s="302"/>
      <c r="J124" s="302"/>
      <c r="K124" s="342"/>
      <c r="L124" s="175" t="s">
        <v>115</v>
      </c>
      <c r="M124" s="302"/>
      <c r="N124" s="276"/>
      <c r="O124" s="1184" t="s">
        <v>308</v>
      </c>
      <c r="P124" s="342"/>
      <c r="Q124" s="175" t="s">
        <v>115</v>
      </c>
      <c r="R124" s="348"/>
      <c r="S124" s="1184" t="s">
        <v>343</v>
      </c>
      <c r="T124" s="302"/>
      <c r="U124" s="302"/>
      <c r="V124" s="342"/>
      <c r="W124" s="302"/>
      <c r="X124" s="342"/>
      <c r="Y124" s="330" t="s">
        <v>51</v>
      </c>
    </row>
    <row r="125" spans="1:25" s="343" customFormat="1" ht="36.65" customHeight="1">
      <c r="A125" s="1253"/>
      <c r="C125" s="175" t="s">
        <v>116</v>
      </c>
      <c r="D125" s="258" t="e">
        <f>D124/VLOOKUP(A124,#REF!,7,0)</f>
        <v>#REF!</v>
      </c>
      <c r="E125" s="1185"/>
      <c r="F125" s="1185"/>
      <c r="G125" s="317"/>
      <c r="H125" s="1185"/>
      <c r="I125" s="303"/>
      <c r="J125" s="303"/>
      <c r="L125" s="175" t="s">
        <v>116</v>
      </c>
      <c r="M125" s="303"/>
      <c r="N125" s="277"/>
      <c r="O125" s="1185"/>
      <c r="Q125" s="175" t="s">
        <v>116</v>
      </c>
      <c r="R125" s="349"/>
      <c r="S125" s="1185"/>
      <c r="T125" s="303"/>
      <c r="U125" s="303"/>
      <c r="W125" s="303"/>
      <c r="Y125" s="331" t="s">
        <v>52</v>
      </c>
    </row>
    <row r="126" spans="1:25" ht="75.650000000000006" customHeight="1">
      <c r="A126" s="1254"/>
      <c r="B126" s="12"/>
      <c r="C126" s="53" t="s">
        <v>117</v>
      </c>
      <c r="D126" s="252" t="e">
        <f>(D124/VLOOKUP(A124,#REF!,4,0))*100</f>
        <v>#REF!</v>
      </c>
      <c r="E126" s="341"/>
      <c r="F126" s="1186"/>
      <c r="G126" s="336"/>
      <c r="H126" s="1186"/>
      <c r="I126" s="304"/>
      <c r="J126" s="304"/>
      <c r="K126" s="12"/>
      <c r="L126" s="53" t="s">
        <v>117</v>
      </c>
      <c r="M126" s="57"/>
      <c r="N126" s="267"/>
      <c r="O126" s="1186"/>
      <c r="P126" s="12"/>
      <c r="Q126" s="53" t="s">
        <v>117</v>
      </c>
      <c r="R126" s="252"/>
      <c r="S126" s="1186"/>
      <c r="T126" s="304"/>
      <c r="U126" s="304"/>
      <c r="V126" s="52"/>
      <c r="W126" s="304"/>
      <c r="X126" s="52"/>
      <c r="Y126" s="332"/>
    </row>
    <row r="127" spans="1:25">
      <c r="A127" s="150"/>
      <c r="B127" s="35"/>
      <c r="C127" s="45"/>
      <c r="E127" s="152"/>
      <c r="F127" s="37"/>
      <c r="G127" s="153"/>
      <c r="H127" s="343"/>
      <c r="I127" s="343"/>
      <c r="J127" s="343"/>
      <c r="K127" s="35"/>
      <c r="L127" s="45"/>
      <c r="M127" s="35"/>
      <c r="O127" s="343"/>
      <c r="P127" s="35"/>
      <c r="Q127" s="45"/>
      <c r="S127" s="343"/>
      <c r="T127" s="343"/>
      <c r="U127" s="343"/>
      <c r="W127" s="343"/>
      <c r="Y127" s="337"/>
    </row>
    <row r="128" spans="1:25" ht="13">
      <c r="A128" s="108" t="s">
        <v>128</v>
      </c>
      <c r="B128" s="109"/>
      <c r="C128" s="108"/>
      <c r="D128" s="110"/>
      <c r="E128" s="111"/>
      <c r="F128" s="109"/>
      <c r="G128" s="112"/>
      <c r="H128" s="113"/>
      <c r="I128" s="113"/>
      <c r="J128" s="113"/>
      <c r="K128" s="109"/>
      <c r="L128" s="241"/>
      <c r="M128" s="109"/>
      <c r="N128" s="264"/>
      <c r="O128" s="113"/>
      <c r="P128" s="109"/>
      <c r="Q128" s="241"/>
      <c r="R128" s="284"/>
      <c r="S128" s="113"/>
      <c r="T128" s="113"/>
      <c r="U128" s="113"/>
      <c r="W128" s="303"/>
      <c r="Y128" s="331"/>
    </row>
    <row r="129" spans="1:25" s="343" customFormat="1" ht="50.15" customHeight="1">
      <c r="A129" s="1253" t="s">
        <v>37</v>
      </c>
      <c r="B129" s="342"/>
      <c r="C129" s="38" t="s">
        <v>115</v>
      </c>
      <c r="D129" s="255">
        <v>53.95</v>
      </c>
      <c r="E129" s="302" t="s">
        <v>86</v>
      </c>
      <c r="F129" s="1184" t="s">
        <v>328</v>
      </c>
      <c r="G129" s="316" t="s">
        <v>87</v>
      </c>
      <c r="H129" s="1184" t="s">
        <v>98</v>
      </c>
      <c r="I129" s="302"/>
      <c r="J129" s="302"/>
      <c r="K129" s="342"/>
      <c r="L129" s="175" t="s">
        <v>115</v>
      </c>
      <c r="M129" s="302"/>
      <c r="N129" s="274">
        <v>50</v>
      </c>
      <c r="O129" s="1184" t="s">
        <v>344</v>
      </c>
      <c r="P129" s="342"/>
      <c r="Q129" s="175" t="s">
        <v>115</v>
      </c>
      <c r="R129" s="348"/>
      <c r="S129" s="302"/>
      <c r="T129" s="302"/>
      <c r="U129" s="302"/>
      <c r="V129" s="342"/>
      <c r="W129" s="302"/>
      <c r="X129" s="342"/>
      <c r="Y129" s="302"/>
    </row>
    <row r="130" spans="1:25" s="37" customFormat="1" ht="50.15" customHeight="1">
      <c r="A130" s="1253"/>
      <c r="B130" s="343"/>
      <c r="C130" s="175" t="s">
        <v>116</v>
      </c>
      <c r="D130" s="258" t="e">
        <f>D129/VLOOKUP(A129,#REF!,7,0)</f>
        <v>#REF!</v>
      </c>
      <c r="E130" s="303"/>
      <c r="F130" s="1185"/>
      <c r="G130" s="317"/>
      <c r="H130" s="1185"/>
      <c r="I130" s="303"/>
      <c r="J130" s="303"/>
      <c r="K130" s="343"/>
      <c r="L130" s="175" t="s">
        <v>116</v>
      </c>
      <c r="M130" s="303"/>
      <c r="N130" s="269" t="e">
        <f>N129/VLOOKUP(A129,#REF!,7,0)</f>
        <v>#REF!</v>
      </c>
      <c r="O130" s="1185"/>
      <c r="P130" s="343"/>
      <c r="Q130" s="175" t="s">
        <v>116</v>
      </c>
      <c r="R130" s="349"/>
      <c r="S130" s="303"/>
      <c r="T130" s="303"/>
      <c r="U130" s="303"/>
      <c r="V130" s="343"/>
      <c r="W130" s="303"/>
      <c r="X130" s="343"/>
      <c r="Y130" s="303"/>
    </row>
    <row r="131" spans="1:25" ht="50.15" customHeight="1">
      <c r="A131" s="1254"/>
      <c r="B131" s="35"/>
      <c r="C131" s="175" t="s">
        <v>117</v>
      </c>
      <c r="D131" s="258" t="e">
        <f>(D129/VLOOKUP(A129,#REF!,4,0))*100</f>
        <v>#REF!</v>
      </c>
      <c r="E131" s="340"/>
      <c r="F131" s="1186"/>
      <c r="G131" s="329"/>
      <c r="H131" s="1186"/>
      <c r="I131" s="303"/>
      <c r="J131" s="303"/>
      <c r="K131" s="35"/>
      <c r="L131" s="175" t="s">
        <v>117</v>
      </c>
      <c r="M131" s="58"/>
      <c r="N131" s="269" t="e">
        <f>(N129/VLOOKUP(A129,#REF!,4,0))*100</f>
        <v>#REF!</v>
      </c>
      <c r="O131" s="1186"/>
      <c r="P131" s="35"/>
      <c r="Q131" s="175" t="s">
        <v>117</v>
      </c>
      <c r="R131" s="258"/>
      <c r="S131" s="303"/>
      <c r="T131" s="303"/>
      <c r="U131" s="303"/>
      <c r="W131" s="303"/>
      <c r="Y131" s="331"/>
    </row>
    <row r="132" spans="1:25" s="342" customFormat="1" ht="40" customHeight="1">
      <c r="A132" s="1253" t="s">
        <v>38</v>
      </c>
      <c r="B132" s="244"/>
      <c r="C132" s="38" t="s">
        <v>115</v>
      </c>
      <c r="D132" s="255">
        <v>5.8</v>
      </c>
      <c r="E132" s="325" t="s">
        <v>53</v>
      </c>
      <c r="F132" s="1220" t="s">
        <v>329</v>
      </c>
      <c r="G132" s="316"/>
      <c r="H132" s="1184" t="s">
        <v>271</v>
      </c>
      <c r="I132" s="302"/>
      <c r="J132" s="302"/>
      <c r="K132" s="244"/>
      <c r="L132" s="38" t="s">
        <v>115</v>
      </c>
      <c r="M132" s="325"/>
      <c r="N132" s="276"/>
      <c r="O132" s="302"/>
      <c r="P132" s="244"/>
      <c r="Q132" s="38" t="s">
        <v>115</v>
      </c>
      <c r="R132" s="348"/>
      <c r="S132" s="302"/>
      <c r="T132" s="302"/>
      <c r="U132" s="302"/>
      <c r="V132" s="14"/>
      <c r="W132" s="302"/>
      <c r="X132" s="14"/>
      <c r="Y132" s="302"/>
    </row>
    <row r="133" spans="1:25" ht="40" customHeight="1">
      <c r="A133" s="1253"/>
      <c r="B133" s="35"/>
      <c r="C133" s="175" t="s">
        <v>116</v>
      </c>
      <c r="D133" s="258" t="e">
        <f>D132/#REF!</f>
        <v>#REF!</v>
      </c>
      <c r="E133" s="34"/>
      <c r="F133" s="1221"/>
      <c r="G133" s="329"/>
      <c r="H133" s="1185"/>
      <c r="I133" s="303"/>
      <c r="J133" s="303"/>
      <c r="K133" s="35"/>
      <c r="L133" s="175" t="s">
        <v>116</v>
      </c>
      <c r="M133" s="58"/>
      <c r="N133" s="269"/>
      <c r="O133" s="303"/>
      <c r="P133" s="35"/>
      <c r="Q133" s="175" t="s">
        <v>116</v>
      </c>
      <c r="R133" s="258"/>
      <c r="S133" s="303"/>
      <c r="T133" s="303"/>
      <c r="U133" s="303"/>
      <c r="W133" s="303"/>
      <c r="Y133" s="331"/>
    </row>
    <row r="134" spans="1:25" ht="40" customHeight="1">
      <c r="A134" s="1254"/>
      <c r="B134" s="12"/>
      <c r="C134" s="53" t="s">
        <v>117</v>
      </c>
      <c r="D134" s="252" t="e">
        <f>D132/#REF!*100</f>
        <v>#REF!</v>
      </c>
      <c r="E134" s="11"/>
      <c r="F134" s="1222"/>
      <c r="G134" s="336"/>
      <c r="H134" s="1186"/>
      <c r="I134" s="304"/>
      <c r="J134" s="304"/>
      <c r="K134" s="12"/>
      <c r="L134" s="53" t="s">
        <v>117</v>
      </c>
      <c r="M134" s="57"/>
      <c r="N134" s="267"/>
      <c r="O134" s="304"/>
      <c r="P134" s="12"/>
      <c r="Q134" s="53" t="s">
        <v>117</v>
      </c>
      <c r="R134" s="252"/>
      <c r="S134" s="304"/>
      <c r="T134" s="304"/>
      <c r="U134" s="304"/>
      <c r="V134" s="52"/>
      <c r="W134" s="304"/>
      <c r="X134" s="52"/>
      <c r="Y134" s="332"/>
    </row>
    <row r="135" spans="1:25" s="343" customFormat="1" ht="50.15" customHeight="1">
      <c r="A135" s="1253" t="s">
        <v>29</v>
      </c>
      <c r="B135" s="342"/>
      <c r="C135" s="38" t="s">
        <v>115</v>
      </c>
      <c r="D135" s="1369" t="s">
        <v>84</v>
      </c>
      <c r="E135" s="302" t="s">
        <v>88</v>
      </c>
      <c r="F135" s="1184" t="s">
        <v>330</v>
      </c>
      <c r="G135" s="316"/>
      <c r="H135" s="1184" t="s">
        <v>297</v>
      </c>
      <c r="I135" s="302"/>
      <c r="J135" s="302"/>
      <c r="K135" s="342"/>
      <c r="L135" s="175" t="s">
        <v>115</v>
      </c>
      <c r="M135" s="302"/>
      <c r="N135" s="276"/>
      <c r="O135" s="302"/>
      <c r="P135" s="342"/>
      <c r="Q135" s="175" t="s">
        <v>115</v>
      </c>
      <c r="R135" s="348"/>
      <c r="S135" s="302"/>
      <c r="T135" s="302"/>
      <c r="U135" s="302"/>
      <c r="V135" s="342"/>
      <c r="W135" s="302"/>
      <c r="X135" s="342"/>
      <c r="Y135" s="302"/>
    </row>
    <row r="136" spans="1:25" s="37" customFormat="1" ht="50.15" customHeight="1">
      <c r="A136" s="1253"/>
      <c r="B136" s="343"/>
      <c r="C136" s="175" t="s">
        <v>116</v>
      </c>
      <c r="D136" s="1370"/>
      <c r="E136" s="303"/>
      <c r="F136" s="1185"/>
      <c r="G136" s="317"/>
      <c r="H136" s="1185"/>
      <c r="I136" s="303"/>
      <c r="J136" s="303"/>
      <c r="K136" s="343"/>
      <c r="L136" s="175" t="s">
        <v>116</v>
      </c>
      <c r="M136" s="303"/>
      <c r="N136" s="277"/>
      <c r="O136" s="303"/>
      <c r="P136" s="343"/>
      <c r="Q136" s="175" t="s">
        <v>116</v>
      </c>
      <c r="R136" s="349"/>
      <c r="S136" s="303"/>
      <c r="T136" s="303"/>
      <c r="U136" s="303"/>
      <c r="V136" s="343"/>
      <c r="W136" s="303"/>
      <c r="X136" s="343"/>
      <c r="Y136" s="303"/>
    </row>
    <row r="137" spans="1:25" ht="50.15" customHeight="1">
      <c r="A137" s="1254"/>
      <c r="B137" s="12"/>
      <c r="C137" s="53" t="s">
        <v>117</v>
      </c>
      <c r="D137" s="252"/>
      <c r="E137" s="341"/>
      <c r="F137" s="1186"/>
      <c r="G137" s="336"/>
      <c r="H137" s="1186"/>
      <c r="I137" s="304"/>
      <c r="J137" s="304"/>
      <c r="K137" s="12"/>
      <c r="L137" s="53" t="s">
        <v>117</v>
      </c>
      <c r="M137" s="57"/>
      <c r="N137" s="267"/>
      <c r="O137" s="57"/>
      <c r="P137" s="12"/>
      <c r="Q137" s="53" t="s">
        <v>117</v>
      </c>
      <c r="R137" s="252"/>
      <c r="S137" s="304"/>
      <c r="T137" s="304"/>
      <c r="U137" s="304"/>
      <c r="V137" s="52"/>
      <c r="W137" s="304"/>
      <c r="X137" s="52"/>
      <c r="Y137" s="332"/>
    </row>
    <row r="138" spans="1:25" ht="65.150000000000006" customHeight="1">
      <c r="A138" s="1253" t="s">
        <v>93</v>
      </c>
      <c r="B138" s="14"/>
      <c r="C138" s="38" t="s">
        <v>115</v>
      </c>
      <c r="D138" s="255">
        <v>761</v>
      </c>
      <c r="E138" s="1220">
        <v>70</v>
      </c>
      <c r="F138" s="1184" t="s">
        <v>331</v>
      </c>
      <c r="G138" s="316"/>
      <c r="H138" s="1184" t="s">
        <v>261</v>
      </c>
      <c r="I138" s="302"/>
      <c r="J138" s="302"/>
      <c r="K138" s="14"/>
      <c r="L138" s="175" t="s">
        <v>115</v>
      </c>
      <c r="M138" s="325"/>
      <c r="N138" s="282"/>
      <c r="O138" s="1190"/>
      <c r="P138" s="14"/>
      <c r="Q138" s="175" t="s">
        <v>115</v>
      </c>
      <c r="R138" s="348"/>
      <c r="S138" s="1184"/>
      <c r="T138" s="302"/>
      <c r="U138" s="302"/>
      <c r="V138" s="14"/>
      <c r="W138" s="302"/>
      <c r="X138" s="14"/>
      <c r="Y138" s="302"/>
    </row>
    <row r="139" spans="1:25" ht="65.150000000000006" customHeight="1">
      <c r="A139" s="1253"/>
      <c r="B139" s="37"/>
      <c r="C139" s="175" t="s">
        <v>116</v>
      </c>
      <c r="D139" s="258" t="e">
        <f>D138/#REF!</f>
        <v>#REF!</v>
      </c>
      <c r="E139" s="1221"/>
      <c r="F139" s="1185"/>
      <c r="G139" s="317"/>
      <c r="H139" s="1185"/>
      <c r="I139" s="303"/>
      <c r="J139" s="303"/>
      <c r="K139" s="37"/>
      <c r="L139" s="175" t="s">
        <v>116</v>
      </c>
      <c r="M139" s="326"/>
      <c r="N139" s="269"/>
      <c r="O139" s="1191"/>
      <c r="P139" s="37"/>
      <c r="Q139" s="175" t="s">
        <v>116</v>
      </c>
      <c r="R139" s="349"/>
      <c r="S139" s="1185"/>
      <c r="T139" s="303"/>
      <c r="U139" s="303"/>
      <c r="V139" s="37"/>
      <c r="W139" s="303"/>
      <c r="X139" s="37"/>
      <c r="Y139" s="303"/>
    </row>
    <row r="140" spans="1:25" ht="65.150000000000006" customHeight="1">
      <c r="A140" s="1254"/>
      <c r="B140" s="12"/>
      <c r="C140" s="53" t="s">
        <v>117</v>
      </c>
      <c r="D140" s="252" t="e">
        <f>D138/#REF!*100</f>
        <v>#REF!</v>
      </c>
      <c r="E140" s="341"/>
      <c r="F140" s="1186"/>
      <c r="G140" s="336"/>
      <c r="H140" s="1186"/>
      <c r="I140" s="304"/>
      <c r="J140" s="304"/>
      <c r="K140" s="12"/>
      <c r="L140" s="53" t="s">
        <v>117</v>
      </c>
      <c r="M140" s="57"/>
      <c r="N140" s="267"/>
      <c r="O140" s="1192"/>
      <c r="P140" s="12"/>
      <c r="Q140" s="53" t="s">
        <v>117</v>
      </c>
      <c r="R140" s="252"/>
      <c r="S140" s="1186"/>
      <c r="T140" s="304"/>
      <c r="U140" s="304"/>
      <c r="V140" s="52"/>
      <c r="W140" s="304"/>
      <c r="X140" s="52"/>
      <c r="Y140" s="332"/>
    </row>
    <row r="141" spans="1:25" ht="90" customHeight="1">
      <c r="A141" s="1253" t="s">
        <v>33</v>
      </c>
      <c r="B141" s="14"/>
      <c r="C141" s="38" t="s">
        <v>115</v>
      </c>
      <c r="D141" s="186">
        <f>36000+61700</f>
        <v>97700</v>
      </c>
      <c r="E141" s="325" t="s">
        <v>89</v>
      </c>
      <c r="F141" s="1220" t="s">
        <v>332</v>
      </c>
      <c r="G141" s="316">
        <f>80000-1800</f>
        <v>78200</v>
      </c>
      <c r="H141" s="1184" t="s">
        <v>299</v>
      </c>
      <c r="I141" s="302"/>
      <c r="J141" s="302"/>
      <c r="K141" s="14"/>
      <c r="L141" s="175" t="s">
        <v>115</v>
      </c>
      <c r="M141" s="325"/>
      <c r="N141" s="276"/>
      <c r="O141" s="302"/>
      <c r="P141" s="14"/>
      <c r="Q141" s="175" t="s">
        <v>115</v>
      </c>
      <c r="R141" s="348"/>
      <c r="S141" s="302"/>
      <c r="T141" s="302"/>
      <c r="U141" s="302"/>
      <c r="V141" s="14"/>
      <c r="W141" s="1184" t="s">
        <v>295</v>
      </c>
      <c r="X141" s="14"/>
      <c r="Y141" s="302"/>
    </row>
    <row r="142" spans="1:25" ht="90" customHeight="1">
      <c r="A142" s="1253"/>
      <c r="B142" s="35"/>
      <c r="C142" s="175" t="s">
        <v>116</v>
      </c>
      <c r="D142" s="258" t="e">
        <f>D141/VLOOKUP(A141,#REF!,7,0)</f>
        <v>#REF!</v>
      </c>
      <c r="E142" s="34"/>
      <c r="F142" s="1221"/>
      <c r="G142" s="329"/>
      <c r="H142" s="1185"/>
      <c r="I142" s="303"/>
      <c r="J142" s="303"/>
      <c r="K142" s="35"/>
      <c r="L142" s="175" t="s">
        <v>116</v>
      </c>
      <c r="M142" s="58"/>
      <c r="N142" s="269"/>
      <c r="O142" s="303"/>
      <c r="P142" s="35"/>
      <c r="Q142" s="175" t="s">
        <v>116</v>
      </c>
      <c r="R142" s="258"/>
      <c r="S142" s="303"/>
      <c r="T142" s="303"/>
      <c r="U142" s="303"/>
      <c r="W142" s="1185"/>
      <c r="Y142" s="331"/>
    </row>
    <row r="143" spans="1:25" ht="90" customHeight="1">
      <c r="A143" s="1254"/>
      <c r="B143" s="12"/>
      <c r="C143" s="53" t="s">
        <v>117</v>
      </c>
      <c r="D143" s="252" t="e">
        <f>(D141/VLOOKUP(A141,#REF!,4,0))*100</f>
        <v>#REF!</v>
      </c>
      <c r="E143" s="11"/>
      <c r="F143" s="1222"/>
      <c r="G143" s="336"/>
      <c r="H143" s="1186"/>
      <c r="I143" s="304"/>
      <c r="J143" s="304"/>
      <c r="K143" s="12"/>
      <c r="L143" s="53" t="s">
        <v>117</v>
      </c>
      <c r="M143" s="57"/>
      <c r="N143" s="267"/>
      <c r="O143" s="304"/>
      <c r="P143" s="12"/>
      <c r="Q143" s="53" t="s">
        <v>117</v>
      </c>
      <c r="R143" s="252"/>
      <c r="S143" s="304"/>
      <c r="T143" s="304"/>
      <c r="U143" s="304"/>
      <c r="V143" s="52"/>
      <c r="W143" s="1186"/>
      <c r="X143" s="52"/>
      <c r="Y143" s="332"/>
    </row>
    <row r="144" spans="1:25">
      <c r="A144" s="35" t="s">
        <v>108</v>
      </c>
      <c r="B144" s="35"/>
      <c r="D144" s="260"/>
      <c r="E144" s="125"/>
      <c r="F144" s="35"/>
      <c r="G144" s="35"/>
      <c r="K144" s="35"/>
      <c r="M144" s="35"/>
      <c r="N144" s="283"/>
      <c r="P144" s="35"/>
      <c r="R144" s="260"/>
    </row>
    <row r="145" spans="1:21">
      <c r="A145" s="1245" t="s">
        <v>300</v>
      </c>
      <c r="B145" s="1245"/>
      <c r="C145" s="1245"/>
      <c r="D145" s="1245"/>
      <c r="E145" s="1245"/>
      <c r="F145" s="1245"/>
      <c r="G145" s="1245"/>
      <c r="H145" s="1245"/>
      <c r="I145" s="1245"/>
      <c r="J145" s="1245"/>
      <c r="K145" s="1245"/>
      <c r="L145" s="1245"/>
      <c r="M145" s="1245"/>
      <c r="N145" s="1245"/>
      <c r="O145" s="1245"/>
      <c r="P145" s="1245"/>
      <c r="Q145" s="1245"/>
      <c r="R145" s="1245"/>
      <c r="S145" s="1245"/>
      <c r="T145" s="343"/>
      <c r="U145" s="343"/>
    </row>
    <row r="146" spans="1:21">
      <c r="A146" s="35" t="s">
        <v>202</v>
      </c>
    </row>
    <row r="147" spans="1:21">
      <c r="A147" s="33" t="s">
        <v>201</v>
      </c>
    </row>
    <row r="148" spans="1:21">
      <c r="A148" s="33" t="s">
        <v>278</v>
      </c>
    </row>
    <row r="149" spans="1:21">
      <c r="A149" s="33" t="s">
        <v>283</v>
      </c>
    </row>
    <row r="150" spans="1:21">
      <c r="A150" s="33" t="s">
        <v>279</v>
      </c>
    </row>
  </sheetData>
  <mergeCells count="256">
    <mergeCell ref="A4:S4"/>
    <mergeCell ref="C7:J7"/>
    <mergeCell ref="L7:O7"/>
    <mergeCell ref="Q7:U7"/>
    <mergeCell ref="A10:A12"/>
    <mergeCell ref="F10:F12"/>
    <mergeCell ref="H10:H12"/>
    <mergeCell ref="J10:J12"/>
    <mergeCell ref="O10:O12"/>
    <mergeCell ref="S10:S12"/>
    <mergeCell ref="Z13:Z15"/>
    <mergeCell ref="A16:A18"/>
    <mergeCell ref="F16:F18"/>
    <mergeCell ref="H16:H18"/>
    <mergeCell ref="S16:S18"/>
    <mergeCell ref="W16:W18"/>
    <mergeCell ref="W10:W12"/>
    <mergeCell ref="Y10:Y12"/>
    <mergeCell ref="A13:A15"/>
    <mergeCell ref="F13:F15"/>
    <mergeCell ref="H13:H15"/>
    <mergeCell ref="J13:J15"/>
    <mergeCell ref="O13:O15"/>
    <mergeCell ref="S13:S15"/>
    <mergeCell ref="A19:A21"/>
    <mergeCell ref="F19:F21"/>
    <mergeCell ref="H19:H21"/>
    <mergeCell ref="J19:J21"/>
    <mergeCell ref="S19:S21"/>
    <mergeCell ref="A22:A24"/>
    <mergeCell ref="F22:F24"/>
    <mergeCell ref="H22:H24"/>
    <mergeCell ref="J22:J24"/>
    <mergeCell ref="O22:O24"/>
    <mergeCell ref="S22:S24"/>
    <mergeCell ref="W22:W24"/>
    <mergeCell ref="Y22:Y24"/>
    <mergeCell ref="A25:A27"/>
    <mergeCell ref="F25:F27"/>
    <mergeCell ref="H25:H27"/>
    <mergeCell ref="J25:J27"/>
    <mergeCell ref="O25:O27"/>
    <mergeCell ref="S25:S27"/>
    <mergeCell ref="W25:W27"/>
    <mergeCell ref="W28:W30"/>
    <mergeCell ref="A31:A33"/>
    <mergeCell ref="F31:F33"/>
    <mergeCell ref="H31:H33"/>
    <mergeCell ref="J31:J33"/>
    <mergeCell ref="O31:O33"/>
    <mergeCell ref="W31:W33"/>
    <mergeCell ref="A28:A30"/>
    <mergeCell ref="F28:F30"/>
    <mergeCell ref="H28:H30"/>
    <mergeCell ref="J28:J30"/>
    <mergeCell ref="O28:O30"/>
    <mergeCell ref="S28:S30"/>
    <mergeCell ref="Y31:Y33"/>
    <mergeCell ref="A34:A36"/>
    <mergeCell ref="E34:E35"/>
    <mergeCell ref="F34:F36"/>
    <mergeCell ref="H34:H36"/>
    <mergeCell ref="J34:J36"/>
    <mergeCell ref="O34:O36"/>
    <mergeCell ref="S34:S36"/>
    <mergeCell ref="Y34:Y36"/>
    <mergeCell ref="A45:A47"/>
    <mergeCell ref="F45:F47"/>
    <mergeCell ref="H45:H47"/>
    <mergeCell ref="J45:J47"/>
    <mergeCell ref="O45:O47"/>
    <mergeCell ref="S45:S47"/>
    <mergeCell ref="W37:W39"/>
    <mergeCell ref="Y37:Y39"/>
    <mergeCell ref="A40:A42"/>
    <mergeCell ref="F40:F42"/>
    <mergeCell ref="H40:H42"/>
    <mergeCell ref="J40:J42"/>
    <mergeCell ref="O40:O42"/>
    <mergeCell ref="S40:S42"/>
    <mergeCell ref="W40:W42"/>
    <mergeCell ref="A37:A39"/>
    <mergeCell ref="F37:F39"/>
    <mergeCell ref="H37:H39"/>
    <mergeCell ref="J37:J39"/>
    <mergeCell ref="O37:O39"/>
    <mergeCell ref="S37:S39"/>
    <mergeCell ref="W48:W50"/>
    <mergeCell ref="A51:A53"/>
    <mergeCell ref="F51:F53"/>
    <mergeCell ref="H51:H53"/>
    <mergeCell ref="J51:J53"/>
    <mergeCell ref="W51:W53"/>
    <mergeCell ref="A48:A50"/>
    <mergeCell ref="F48:F50"/>
    <mergeCell ref="H48:H50"/>
    <mergeCell ref="J48:J50"/>
    <mergeCell ref="O48:O50"/>
    <mergeCell ref="S48:S50"/>
    <mergeCell ref="A54:A56"/>
    <mergeCell ref="F54:F56"/>
    <mergeCell ref="H54:H56"/>
    <mergeCell ref="J54:J56"/>
    <mergeCell ref="Y54:Y56"/>
    <mergeCell ref="A57:A59"/>
    <mergeCell ref="F57:F59"/>
    <mergeCell ref="H57:H59"/>
    <mergeCell ref="S57:S59"/>
    <mergeCell ref="Y66:Y67"/>
    <mergeCell ref="Y60:Y62"/>
    <mergeCell ref="A63:A65"/>
    <mergeCell ref="F63:F65"/>
    <mergeCell ref="H63:H65"/>
    <mergeCell ref="J63:J65"/>
    <mergeCell ref="O63:O65"/>
    <mergeCell ref="S63:S65"/>
    <mergeCell ref="A60:A62"/>
    <mergeCell ref="F60:F62"/>
    <mergeCell ref="H60:H62"/>
    <mergeCell ref="J60:J62"/>
    <mergeCell ref="O60:O62"/>
    <mergeCell ref="W60:W62"/>
    <mergeCell ref="A69:A71"/>
    <mergeCell ref="E69:E70"/>
    <mergeCell ref="F69:F71"/>
    <mergeCell ref="H69:H71"/>
    <mergeCell ref="J69:J71"/>
    <mergeCell ref="O69:O71"/>
    <mergeCell ref="A66:A68"/>
    <mergeCell ref="F66:F68"/>
    <mergeCell ref="H66:H68"/>
    <mergeCell ref="J66:J68"/>
    <mergeCell ref="O66:O68"/>
    <mergeCell ref="W77:W79"/>
    <mergeCell ref="A80:A82"/>
    <mergeCell ref="E80:E81"/>
    <mergeCell ref="F80:F82"/>
    <mergeCell ref="H80:H82"/>
    <mergeCell ref="O80:O82"/>
    <mergeCell ref="S80:S82"/>
    <mergeCell ref="W80:W81"/>
    <mergeCell ref="O72:O74"/>
    <mergeCell ref="S72:S74"/>
    <mergeCell ref="A77:A79"/>
    <mergeCell ref="F77:F79"/>
    <mergeCell ref="H77:H79"/>
    <mergeCell ref="O77:O79"/>
    <mergeCell ref="S77:S79"/>
    <mergeCell ref="A72:A74"/>
    <mergeCell ref="E72:E73"/>
    <mergeCell ref="F72:F74"/>
    <mergeCell ref="G72:G73"/>
    <mergeCell ref="H72:H74"/>
    <mergeCell ref="J72:J74"/>
    <mergeCell ref="W83:W85"/>
    <mergeCell ref="Y83:Y85"/>
    <mergeCell ref="A86:A88"/>
    <mergeCell ref="E86:E87"/>
    <mergeCell ref="F86:F88"/>
    <mergeCell ref="H86:H88"/>
    <mergeCell ref="O86:O88"/>
    <mergeCell ref="S86:S88"/>
    <mergeCell ref="W86:W88"/>
    <mergeCell ref="Y86:Y88"/>
    <mergeCell ref="A83:A85"/>
    <mergeCell ref="E83:E84"/>
    <mergeCell ref="H83:H85"/>
    <mergeCell ref="O83:O85"/>
    <mergeCell ref="R83:R85"/>
    <mergeCell ref="S83:S85"/>
    <mergeCell ref="A89:A91"/>
    <mergeCell ref="F89:F91"/>
    <mergeCell ref="H89:H91"/>
    <mergeCell ref="O89:O91"/>
    <mergeCell ref="S89:S91"/>
    <mergeCell ref="A92:A94"/>
    <mergeCell ref="E92:E93"/>
    <mergeCell ref="H92:H94"/>
    <mergeCell ref="S92:S94"/>
    <mergeCell ref="W100:W102"/>
    <mergeCell ref="A103:A105"/>
    <mergeCell ref="F103:F105"/>
    <mergeCell ref="H103:H105"/>
    <mergeCell ref="O103:O105"/>
    <mergeCell ref="W103:W105"/>
    <mergeCell ref="A97:A99"/>
    <mergeCell ref="E97:E98"/>
    <mergeCell ref="F97:F99"/>
    <mergeCell ref="H97:H99"/>
    <mergeCell ref="S97:S99"/>
    <mergeCell ref="A100:A102"/>
    <mergeCell ref="F100:F102"/>
    <mergeCell ref="H100:H102"/>
    <mergeCell ref="O100:O102"/>
    <mergeCell ref="S109:S111"/>
    <mergeCell ref="A112:A114"/>
    <mergeCell ref="F112:F114"/>
    <mergeCell ref="H112:H114"/>
    <mergeCell ref="O112:O114"/>
    <mergeCell ref="S112:S114"/>
    <mergeCell ref="Y103:Y105"/>
    <mergeCell ref="A106:A108"/>
    <mergeCell ref="F106:F108"/>
    <mergeCell ref="H106:H108"/>
    <mergeCell ref="O106:O108"/>
    <mergeCell ref="A109:A111"/>
    <mergeCell ref="E109:E110"/>
    <mergeCell ref="F109:F111"/>
    <mergeCell ref="H109:H111"/>
    <mergeCell ref="O109:O111"/>
    <mergeCell ref="S118:S120"/>
    <mergeCell ref="A121:A123"/>
    <mergeCell ref="E121:E122"/>
    <mergeCell ref="F121:F123"/>
    <mergeCell ref="H121:H123"/>
    <mergeCell ref="O121:O123"/>
    <mergeCell ref="S121:S123"/>
    <mergeCell ref="A115:A117"/>
    <mergeCell ref="F115:F117"/>
    <mergeCell ref="H115:H117"/>
    <mergeCell ref="O115:O117"/>
    <mergeCell ref="S115:S117"/>
    <mergeCell ref="A118:A120"/>
    <mergeCell ref="E118:E119"/>
    <mergeCell ref="F118:F120"/>
    <mergeCell ref="H118:H120"/>
    <mergeCell ref="O118:O120"/>
    <mergeCell ref="A129:A131"/>
    <mergeCell ref="F129:F131"/>
    <mergeCell ref="H129:H131"/>
    <mergeCell ref="O129:O131"/>
    <mergeCell ref="A132:A134"/>
    <mergeCell ref="F132:F134"/>
    <mergeCell ref="H132:H134"/>
    <mergeCell ref="W121:W123"/>
    <mergeCell ref="A124:A126"/>
    <mergeCell ref="E124:E125"/>
    <mergeCell ref="F124:F126"/>
    <mergeCell ref="H124:H126"/>
    <mergeCell ref="O124:O126"/>
    <mergeCell ref="S124:S126"/>
    <mergeCell ref="A145:S145"/>
    <mergeCell ref="O138:O140"/>
    <mergeCell ref="S138:S140"/>
    <mergeCell ref="A141:A143"/>
    <mergeCell ref="F141:F143"/>
    <mergeCell ref="H141:H143"/>
    <mergeCell ref="W141:W143"/>
    <mergeCell ref="A135:A137"/>
    <mergeCell ref="D135:D136"/>
    <mergeCell ref="F135:F137"/>
    <mergeCell ref="H135:H137"/>
    <mergeCell ref="A138:A140"/>
    <mergeCell ref="E138:E139"/>
    <mergeCell ref="F138:F140"/>
    <mergeCell ref="H138:H140"/>
  </mergeCells>
  <hyperlinks>
    <hyperlink ref="Y54" r:id="rId1" xr:uid="{CE82EA2D-6138-45AC-B468-70277CF72B6C}"/>
    <hyperlink ref="Y60" r:id="rId2" xr:uid="{A9157B60-C476-4139-9757-67D6A0286099}"/>
    <hyperlink ref="Y66" r:id="rId3" xr:uid="{8EAA2E1F-7E7B-44E7-86A4-390F1AC32AFE}"/>
    <hyperlink ref="Y13" r:id="rId4" xr:uid="{F90CA8A8-756A-470F-874B-C6B020606903}"/>
    <hyperlink ref="Y19" r:id="rId5" xr:uid="{34AF372A-3716-4F0F-A5C6-DE7309C1193C}"/>
    <hyperlink ref="Y25" r:id="rId6" xr:uid="{BC52459F-D2CB-4E68-AEA2-1143F73AACFA}"/>
    <hyperlink ref="Y22" r:id="rId7" xr:uid="{55C5DA09-0E20-46CB-AE56-EA5FA480271E}"/>
    <hyperlink ref="Y31" r:id="rId8" xr:uid="{A7E657A7-E687-4008-84EE-40257B415197}"/>
    <hyperlink ref="Y37" r:id="rId9" xr:uid="{1EA4D578-22F4-4E43-8B8A-DEF1B3E1FBE0}"/>
    <hyperlink ref="Y77" r:id="rId10" xr:uid="{1C57BA6B-5C0F-447B-96F7-0CD01ED9F030}"/>
    <hyperlink ref="Y80" r:id="rId11" xr:uid="{F61CF814-6AEF-4078-8AA4-F53EAFFAC05C}"/>
    <hyperlink ref="Y83" r:id="rId12" xr:uid="{1C34754F-2D55-48FC-AEA8-52B4857B73ED}"/>
    <hyperlink ref="Y86" r:id="rId13" xr:uid="{38A0EBFD-EBAB-42E2-9C99-E16D66B0F53D}"/>
    <hyperlink ref="Y34" r:id="rId14" xr:uid="{E30E15D6-77B0-44DA-A031-21B5555BB508}"/>
    <hyperlink ref="Y103" r:id="rId15" xr:uid="{74DD3AE4-4817-47CC-B98E-B32E6E608ABD}"/>
    <hyperlink ref="Y124" r:id="rId16" xr:uid="{B786A727-220E-4A1D-8E9E-147BA7342173}"/>
    <hyperlink ref="Y125" r:id="rId17" xr:uid="{C2D0D17C-5482-4655-96D0-60259CB6594C}"/>
    <hyperlink ref="Y78" r:id="rId18" xr:uid="{4F9ECDA3-F97F-47F3-AD41-0B922F80B169}"/>
    <hyperlink ref="Z10" r:id="rId19" display="https://treasury.gov.au/coronavirus" xr:uid="{129DA64A-B423-407C-82F8-9EF0DACF1AF3}"/>
    <hyperlink ref="Y10" r:id="rId20" xr:uid="{86B5E436-B365-427E-B52D-D065FD2A6984}"/>
    <hyperlink ref="Y26" r:id="rId21" xr:uid="{736155B3-E46F-46E4-B92D-35BAB501A78C}"/>
    <hyperlink ref="Y118" r:id="rId22" display="https://urldefense.proofpoint.com/v2/url?u=https-3A__www.gov.pl_web_tarczaantykryzysowa&amp;d=DwMFBA&amp;c=G8CoXqdZ57E1EOn2t2CVrg&amp;r=1dNmfCwUPm-Zyfp8PIjgpWCvO5QO5p2LM0QGFAzgPvI&amp;m=nz2rsJenFWhU9KRBhOJ8maK12Et9Tar9PrzSGpsIzBw&amp;s=CAY3fc6DLo3KDD4wEX63BZhcse8VIq2LHFGPVw4INzI&amp;e=" xr:uid="{C933F4A9-5285-477A-A5B0-83FB57B9D72A}"/>
  </hyperlinks>
  <pageMargins left="0.7" right="0.7" top="0.75" bottom="0.75" header="0.3" footer="0.3"/>
  <pageSetup scale="44" fitToHeight="0" orientation="landscape" r:id="rId23"/>
  <rowBreaks count="10" manualBreakCount="10">
    <brk id="21" max="15" man="1"/>
    <brk id="33" max="17" man="1"/>
    <brk id="42" max="17" man="1"/>
    <brk id="53" max="17" man="1"/>
    <brk id="62" max="17" man="1"/>
    <brk id="75" max="17" man="1"/>
    <brk id="88" max="17" man="1"/>
    <brk id="105" max="17" man="1"/>
    <brk id="120" max="17" man="1"/>
    <brk id="137" max="17" man="1"/>
  </rowBreaks>
  <colBreaks count="1" manualBreakCount="1">
    <brk id="23"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426C-411D-46EA-BDB5-03E8C4FAE8E1}">
  <dimension ref="B1:X45"/>
  <sheetViews>
    <sheetView workbookViewId="0">
      <selection activeCell="G24" sqref="G24"/>
    </sheetView>
  </sheetViews>
  <sheetFormatPr defaultRowHeight="12.5"/>
  <sheetData>
    <row r="1" spans="2:24">
      <c r="B1" s="195" t="e">
        <f>SUM(D1,L1,P1)</f>
        <v>#REF!</v>
      </c>
      <c r="D1" s="195" t="e">
        <f>SUM(D3:D45)</f>
        <v>#REF!</v>
      </c>
      <c r="L1" s="195" t="e">
        <f>SUM(L3:L45)</f>
        <v>#REF!</v>
      </c>
      <c r="P1" s="195" t="e">
        <f>SUM(P3:P45)</f>
        <v>#REF!</v>
      </c>
      <c r="X1">
        <f>SUM(X3:X24)</f>
        <v>258</v>
      </c>
    </row>
    <row r="3" spans="2:24">
      <c r="D3" s="195">
        <f>Database!G7</f>
        <v>249.72579708899613</v>
      </c>
      <c r="L3" s="195">
        <f>Database!Q7</f>
        <v>10.356336622435562</v>
      </c>
      <c r="P3" s="195">
        <f>Database!U7</f>
        <v>13.808448829914079</v>
      </c>
      <c r="X3">
        <v>31</v>
      </c>
    </row>
    <row r="4" spans="2:24">
      <c r="D4" s="195" t="e">
        <f>Database!#REF!</f>
        <v>#REF!</v>
      </c>
      <c r="L4" s="195" t="e">
        <f>Database!#REF!</f>
        <v>#REF!</v>
      </c>
      <c r="P4" s="195" t="e">
        <f>Database!#REF!</f>
        <v>#REF!</v>
      </c>
      <c r="X4">
        <v>18</v>
      </c>
    </row>
    <row r="5" spans="2:24">
      <c r="D5" s="195" t="e">
        <f>Database!#REF!</f>
        <v>#REF!</v>
      </c>
      <c r="L5" s="195" t="e">
        <f>Database!#REF!</f>
        <v>#REF!</v>
      </c>
      <c r="P5" s="195" t="e">
        <f>Database!#REF!</f>
        <v>#REF!</v>
      </c>
      <c r="X5">
        <v>5</v>
      </c>
    </row>
    <row r="6" spans="2:24">
      <c r="D6" s="195" t="e">
        <f>Database!#REF!</f>
        <v>#REF!</v>
      </c>
      <c r="L6" s="195" t="e">
        <f>Database!#REF!</f>
        <v>#REF!</v>
      </c>
      <c r="P6" s="195" t="e">
        <f>Database!#REF!</f>
        <v>#REF!</v>
      </c>
      <c r="X6">
        <v>2</v>
      </c>
    </row>
    <row r="7" spans="2:24">
      <c r="D7" s="195" t="e">
        <f>Database!#REF!</f>
        <v>#REF!</v>
      </c>
      <c r="L7" s="195" t="e">
        <f>Database!#REF!</f>
        <v>#REF!</v>
      </c>
      <c r="P7" s="195" t="e">
        <f>Database!#REF!</f>
        <v>#REF!</v>
      </c>
      <c r="X7">
        <v>7.5</v>
      </c>
    </row>
    <row r="8" spans="2:24">
      <c r="D8" s="195">
        <f>Database!G22</f>
        <v>205.43073468379424</v>
      </c>
      <c r="L8" s="195">
        <f>Database!Q22</f>
        <v>3.7091660429018405</v>
      </c>
      <c r="P8" s="195">
        <f>Database!U22</f>
        <v>660.80219656620488</v>
      </c>
      <c r="X8">
        <v>7</v>
      </c>
    </row>
    <row r="9" spans="2:24">
      <c r="D9" s="195">
        <f>Database!G25</f>
        <v>843.8337860086101</v>
      </c>
      <c r="L9" s="195">
        <f>Database!Q25</f>
        <v>0</v>
      </c>
      <c r="P9" s="195">
        <f>Database!U25</f>
        <v>147.0387396263616</v>
      </c>
      <c r="X9">
        <v>21</v>
      </c>
    </row>
    <row r="10" spans="2:24">
      <c r="D10" s="195">
        <f>Database!G28</f>
        <v>104.83004568682564</v>
      </c>
      <c r="L10" s="195">
        <f>Database!Q28</f>
        <v>0</v>
      </c>
      <c r="P10" s="195">
        <f>Database!U28</f>
        <v>60.08448051088066</v>
      </c>
      <c r="X10">
        <v>3</v>
      </c>
    </row>
    <row r="11" spans="2:24">
      <c r="D11" s="195">
        <f>Database!G31</f>
        <v>107.45168705821794</v>
      </c>
      <c r="L11" s="195">
        <f>Database!Q31</f>
        <v>0.72927910812746966</v>
      </c>
      <c r="P11" s="195">
        <f>Database!U31</f>
        <v>171.87704801877453</v>
      </c>
      <c r="X11">
        <v>6.5</v>
      </c>
    </row>
    <row r="12" spans="2:24">
      <c r="D12" s="195">
        <f>Database!G34</f>
        <v>522.16796884260248</v>
      </c>
      <c r="L12" s="195">
        <f>Database!Q34</f>
        <v>1.3214570218866846</v>
      </c>
      <c r="P12" s="195">
        <f>Database!U34</f>
        <v>451.60472980981842</v>
      </c>
      <c r="X12">
        <v>10</v>
      </c>
    </row>
    <row r="13" spans="2:24">
      <c r="B13" t="s">
        <v>285</v>
      </c>
      <c r="D13" t="e">
        <f>Database!#REF!</f>
        <v>#REF!</v>
      </c>
      <c r="L13" t="e">
        <f>Database!#REF!</f>
        <v>#REF!</v>
      </c>
      <c r="P13" t="e">
        <f>Database!#REF!</f>
        <v>#REF!</v>
      </c>
      <c r="X13">
        <v>3</v>
      </c>
    </row>
    <row r="14" spans="2:24">
      <c r="D14" t="e">
        <f>Database!#REF!</f>
        <v>#REF!</v>
      </c>
      <c r="L14" t="e">
        <f>Database!#REF!</f>
        <v>#REF!</v>
      </c>
      <c r="P14" t="e">
        <f>Database!#REF!</f>
        <v>#REF!</v>
      </c>
      <c r="X14">
        <v>3</v>
      </c>
    </row>
    <row r="15" spans="2:24">
      <c r="D15" s="195">
        <f>Database!G43</f>
        <v>133.43721913654085</v>
      </c>
      <c r="L15" s="195">
        <f>Database!Q43</f>
        <v>15.498813503430172</v>
      </c>
      <c r="P15" s="195">
        <f>Database!U43</f>
        <v>0</v>
      </c>
      <c r="X15">
        <v>21</v>
      </c>
    </row>
    <row r="16" spans="2:24">
      <c r="D16" s="195">
        <f>Database!G46</f>
        <v>710.64739339926814</v>
      </c>
      <c r="L16" s="195">
        <f>Database!Q46</f>
        <v>0</v>
      </c>
      <c r="P16" s="195">
        <f>Database!U46</f>
        <v>57.964713980364451</v>
      </c>
      <c r="X16">
        <v>54</v>
      </c>
    </row>
    <row r="17" spans="2:24">
      <c r="D17" s="195">
        <f>Database!G49</f>
        <v>108.91796310307309</v>
      </c>
      <c r="L17" s="195">
        <f>Database!Q49</f>
        <v>8.6358998705005963</v>
      </c>
      <c r="P17" s="195">
        <f>Database!U49</f>
        <v>140.78807121174921</v>
      </c>
      <c r="X17">
        <v>7</v>
      </c>
    </row>
    <row r="18" spans="2:24">
      <c r="D18" s="195">
        <f>Database!G52</f>
        <v>98.860320620644671</v>
      </c>
      <c r="L18" s="195"/>
      <c r="P18" s="195">
        <f>Database!Q52</f>
        <v>2.4132367580927534</v>
      </c>
      <c r="X18">
        <v>3</v>
      </c>
    </row>
    <row r="19" spans="2:24">
      <c r="D19">
        <f>Database!G55</f>
        <v>7.0279601888550927</v>
      </c>
      <c r="L19">
        <f>Database!Q55</f>
        <v>0.89362142798687272</v>
      </c>
      <c r="P19">
        <f>Database!U55</f>
        <v>0.27925669624589772</v>
      </c>
      <c r="X19">
        <v>3</v>
      </c>
    </row>
    <row r="20" spans="2:24">
      <c r="D20" s="195" t="e">
        <f>Database!#REF!</f>
        <v>#REF!</v>
      </c>
      <c r="L20" s="195" t="e">
        <f>Database!#REF!</f>
        <v>#REF!</v>
      </c>
      <c r="P20" s="195" t="e">
        <f>Database!#REF!</f>
        <v>#REF!</v>
      </c>
      <c r="X20">
        <v>17</v>
      </c>
    </row>
    <row r="21" spans="2:24">
      <c r="D21" t="e">
        <f>Database!#REF!</f>
        <v>#REF!</v>
      </c>
      <c r="L21" t="e">
        <f>Database!#REF!</f>
        <v>#REF!</v>
      </c>
      <c r="P21" t="e">
        <f>Database!#REF!</f>
        <v>#REF!</v>
      </c>
      <c r="X21">
        <v>4</v>
      </c>
    </row>
    <row r="22" spans="2:24">
      <c r="D22" t="e">
        <f>Database!#REF!</f>
        <v>#REF!</v>
      </c>
      <c r="L22" t="e">
        <f>Database!#REF!</f>
        <v>#REF!</v>
      </c>
      <c r="P22" t="e">
        <f>Database!#REF!</f>
        <v>#REF!</v>
      </c>
      <c r="X22">
        <v>20</v>
      </c>
    </row>
    <row r="23" spans="2:24">
      <c r="B23" t="s">
        <v>18</v>
      </c>
      <c r="D23" s="195">
        <f>Database!G67</f>
        <v>25.234121210982789</v>
      </c>
      <c r="L23" s="195">
        <f>Database!Q67</f>
        <v>2.995571200851546</v>
      </c>
      <c r="P23" s="195">
        <f>Database!U67</f>
        <v>45.932091746390377</v>
      </c>
      <c r="X23">
        <v>8</v>
      </c>
    </row>
    <row r="24" spans="2:24">
      <c r="X24">
        <v>4</v>
      </c>
    </row>
    <row r="25" spans="2:24">
      <c r="D25" s="376">
        <f>Database!G76</f>
        <v>12.151964295383831</v>
      </c>
      <c r="L25" s="376">
        <f>Database!Q76</f>
        <v>43.105080896833208</v>
      </c>
      <c r="M25" s="376"/>
      <c r="N25" s="376"/>
      <c r="O25" s="376"/>
      <c r="P25" s="376">
        <f>Database!U76</f>
        <v>12.56467251673649</v>
      </c>
    </row>
    <row r="26" spans="2:24">
      <c r="D26" s="376">
        <f>Database!G79</f>
        <v>12.896485010704863</v>
      </c>
      <c r="L26" s="376">
        <f>Database!Q79</f>
        <v>1.3695382312252951</v>
      </c>
      <c r="M26" s="376"/>
      <c r="N26" s="376"/>
      <c r="O26" s="376"/>
      <c r="P26" s="376">
        <f>Database!U79</f>
        <v>13.923638684123832</v>
      </c>
    </row>
    <row r="27" spans="2:24">
      <c r="D27" s="376">
        <f>Database!G82</f>
        <v>93.92749702486816</v>
      </c>
      <c r="L27" s="376">
        <f>Database!Q82</f>
        <v>0</v>
      </c>
      <c r="M27" s="376"/>
      <c r="N27" s="376"/>
      <c r="O27" s="376"/>
      <c r="P27" s="376">
        <f>Database!U82</f>
        <v>39.716608705533552</v>
      </c>
    </row>
    <row r="28" spans="2:24">
      <c r="D28" s="376">
        <f>Database!G88</f>
        <v>23.917160810691193</v>
      </c>
      <c r="L28" s="376">
        <f>Database!Q88</f>
        <v>6.3191432870165452</v>
      </c>
      <c r="M28" s="376"/>
      <c r="N28" s="376"/>
      <c r="O28" s="376"/>
      <c r="P28" s="376">
        <f>Database!U88</f>
        <v>8.2839189308788317</v>
      </c>
    </row>
    <row r="29" spans="2:24">
      <c r="D29" s="376">
        <f>Database!G94</f>
        <v>62.546527888588585</v>
      </c>
      <c r="L29" s="376">
        <f>Database!Q94</f>
        <v>15.94465369118133</v>
      </c>
      <c r="M29" s="376"/>
      <c r="N29" s="376"/>
      <c r="O29" s="376"/>
      <c r="P29" s="376">
        <f>Database!U94</f>
        <v>0</v>
      </c>
    </row>
    <row r="30" spans="2:24">
      <c r="D30" s="376">
        <f>Database!G97</f>
        <v>22.474815922163589</v>
      </c>
      <c r="L30" s="376">
        <f>Database!Q97</f>
        <v>1.2703156825570725</v>
      </c>
      <c r="M30" s="376"/>
      <c r="N30" s="376"/>
      <c r="O30" s="376"/>
      <c r="P30" s="376">
        <f>Database!U97</f>
        <v>27.143497490535736</v>
      </c>
    </row>
    <row r="31" spans="2:24">
      <c r="D31" s="376">
        <f>Database!G103</f>
        <v>0.33382004491368428</v>
      </c>
      <c r="L31" s="376">
        <f>Database!Q103</f>
        <v>0</v>
      </c>
      <c r="M31" s="376"/>
      <c r="N31" s="376"/>
      <c r="O31" s="376"/>
      <c r="P31" s="376">
        <f>Database!U103</f>
        <v>0.23976025325292241</v>
      </c>
    </row>
    <row r="32" spans="2:24">
      <c r="D32" s="376">
        <f>Database!G148</f>
        <v>6.4363979597070609</v>
      </c>
      <c r="L32" s="376">
        <f>Database!Q148</f>
        <v>0</v>
      </c>
      <c r="M32" s="376"/>
      <c r="N32" s="376"/>
      <c r="O32" s="376"/>
      <c r="P32" s="376">
        <f>Database!U148</f>
        <v>1.6963398237179754</v>
      </c>
    </row>
    <row r="33" spans="2:16">
      <c r="B33" t="s">
        <v>42</v>
      </c>
      <c r="D33" s="376">
        <f>Database!G109</f>
        <v>32.063993334728984</v>
      </c>
      <c r="L33" s="376">
        <f>Database!Q109</f>
        <v>3.2859281358385646</v>
      </c>
      <c r="M33" s="376"/>
      <c r="N33" s="376"/>
      <c r="O33" s="376"/>
      <c r="P33" s="376">
        <f>Database!U109</f>
        <v>0</v>
      </c>
    </row>
    <row r="34" spans="2:16">
      <c r="D34" s="376">
        <f>Database!G112</f>
        <v>12.537379304867349</v>
      </c>
      <c r="L34" s="376">
        <f>Database!Q112</f>
        <v>7.6937118380227556</v>
      </c>
      <c r="M34" s="376"/>
      <c r="N34" s="376"/>
      <c r="O34" s="376"/>
      <c r="P34" s="376">
        <f>Database!U112</f>
        <v>6.9247467977276784</v>
      </c>
    </row>
    <row r="35" spans="2:16">
      <c r="D35" s="376">
        <f>Database!G115</f>
        <v>5.6957877830164128</v>
      </c>
      <c r="L35" s="376">
        <f>Database!Q115</f>
        <v>0.46256670638826908</v>
      </c>
      <c r="M35" s="376"/>
      <c r="N35" s="376"/>
      <c r="O35" s="376"/>
      <c r="P35" s="376">
        <f>Database!U115</f>
        <v>0</v>
      </c>
    </row>
    <row r="36" spans="2:16">
      <c r="D36" s="376">
        <f>Database!G124</f>
        <v>9.4151074374828561</v>
      </c>
      <c r="L36" s="376">
        <f>Database!Q124</f>
        <v>0</v>
      </c>
      <c r="M36" s="376"/>
      <c r="N36" s="376"/>
      <c r="O36" s="376"/>
      <c r="P36" s="376">
        <f>Database!U124</f>
        <v>0</v>
      </c>
    </row>
    <row r="37" spans="2:16">
      <c r="D37" s="376">
        <f>Database!G127</f>
        <v>0.99880719208951563</v>
      </c>
      <c r="L37" s="376">
        <f>Database!Q127</f>
        <v>0.36089216609850183</v>
      </c>
      <c r="M37" s="376"/>
      <c r="N37" s="376"/>
      <c r="O37" s="376"/>
      <c r="P37" s="376">
        <f>Database!U127</f>
        <v>0</v>
      </c>
    </row>
    <row r="38" spans="2:16">
      <c r="D38" s="376">
        <f>Database!G142</f>
        <v>38.516359409090974</v>
      </c>
      <c r="L38" s="376">
        <f>Database!Q142</f>
        <v>9.7444850702094339</v>
      </c>
      <c r="M38" s="376"/>
      <c r="N38" s="376"/>
      <c r="O38" s="376"/>
      <c r="P38" s="376">
        <f>Database!U142</f>
        <v>18.976102505144688</v>
      </c>
    </row>
    <row r="39" spans="2:16">
      <c r="D39" s="376">
        <f>Database!G154</f>
        <v>1.0614213919969644</v>
      </c>
      <c r="L39" s="376">
        <f>Database!Q154</f>
        <v>0.24890953916176717</v>
      </c>
      <c r="M39" s="376"/>
      <c r="N39" s="376"/>
      <c r="O39" s="376"/>
      <c r="P39" s="376">
        <f>Database!U154</f>
        <v>7.1117011189076346E-2</v>
      </c>
    </row>
    <row r="40" spans="2:16">
      <c r="D40" s="376">
        <f>Database!G157</f>
        <v>8.7134104833219883</v>
      </c>
      <c r="L40" s="376">
        <f>Database!Q157</f>
        <v>0</v>
      </c>
      <c r="M40" s="376"/>
      <c r="N40" s="376"/>
      <c r="O40" s="376"/>
      <c r="P40" s="376">
        <f>Database!U157</f>
        <v>0</v>
      </c>
    </row>
    <row r="41" spans="2:16">
      <c r="D41" s="376">
        <f>Database!G160</f>
        <v>7.4404955534436894</v>
      </c>
      <c r="L41" s="376">
        <f>Database!Q160</f>
        <v>0</v>
      </c>
      <c r="M41" s="376"/>
      <c r="N41" s="376"/>
      <c r="O41" s="376"/>
      <c r="P41" s="376">
        <f>Database!U160</f>
        <v>0.23586551341534254</v>
      </c>
    </row>
    <row r="42" spans="2:16">
      <c r="D42" s="376">
        <f>Database!G175</f>
        <v>0.81767544130184866</v>
      </c>
      <c r="L42" s="376">
        <f>Database!Q175</f>
        <v>0</v>
      </c>
      <c r="M42" s="376"/>
      <c r="N42" s="376"/>
      <c r="O42" s="376"/>
      <c r="P42" s="376">
        <f>Database!U175</f>
        <v>0.27967754522140348</v>
      </c>
    </row>
    <row r="43" spans="2:16">
      <c r="B43" t="s">
        <v>29</v>
      </c>
      <c r="D43" s="376"/>
      <c r="L43" s="376"/>
      <c r="M43" s="376"/>
      <c r="N43" s="376"/>
      <c r="O43" s="376"/>
      <c r="P43" s="376"/>
    </row>
    <row r="44" spans="2:16">
      <c r="D44" s="376">
        <f>Database!G190</f>
        <v>1.3831990179032452</v>
      </c>
      <c r="L44" s="376">
        <f>Database!Q190</f>
        <v>0</v>
      </c>
      <c r="M44" s="376"/>
      <c r="N44" s="376"/>
      <c r="O44" s="376"/>
      <c r="P44" s="376">
        <f>Database!U190</f>
        <v>0.34797459569892963</v>
      </c>
    </row>
    <row r="45" spans="2:16">
      <c r="B45" t="s">
        <v>33</v>
      </c>
      <c r="D45" s="376">
        <f>Database!G196</f>
        <v>6.074238065187715</v>
      </c>
      <c r="L45" s="376">
        <f>Database!Q196</f>
        <v>1.119834004785369</v>
      </c>
      <c r="M45" s="376"/>
      <c r="N45" s="376"/>
      <c r="O45" s="376"/>
      <c r="P45" s="376">
        <f>Database!U196</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9B94-BAE1-4BEA-9938-964B6223C54A}">
  <dimension ref="C2:M18"/>
  <sheetViews>
    <sheetView topLeftCell="A2" workbookViewId="0">
      <selection activeCell="C9" sqref="C9"/>
    </sheetView>
  </sheetViews>
  <sheetFormatPr defaultRowHeight="12.5"/>
  <cols>
    <col min="3" max="3" width="20.54296875" customWidth="1"/>
    <col min="4" max="6" width="8.54296875" customWidth="1"/>
    <col min="7" max="7" width="4" customWidth="1"/>
    <col min="8" max="8" width="8.54296875" customWidth="1"/>
    <col min="9" max="9" width="7.453125" style="362" customWidth="1"/>
    <col min="10" max="10" width="45.54296875" style="363" customWidth="1"/>
    <col min="13" max="13" width="19.54296875" customWidth="1"/>
  </cols>
  <sheetData>
    <row r="2" spans="3:13" ht="13">
      <c r="C2" s="351" t="s">
        <v>419</v>
      </c>
      <c r="D2" s="352"/>
      <c r="E2" s="352"/>
      <c r="F2" s="352"/>
      <c r="G2" s="352"/>
      <c r="H2" s="352"/>
      <c r="I2" s="353"/>
      <c r="J2" s="354"/>
    </row>
    <row r="3" spans="3:13">
      <c r="C3" s="352"/>
      <c r="D3" s="352" t="s">
        <v>420</v>
      </c>
      <c r="E3" s="352"/>
      <c r="F3" s="352"/>
      <c r="G3" s="352" t="s">
        <v>421</v>
      </c>
      <c r="H3" s="352"/>
      <c r="I3" s="353" t="s">
        <v>116</v>
      </c>
      <c r="J3" s="354"/>
    </row>
    <row r="4" spans="3:13" ht="75">
      <c r="C4" s="352" t="s">
        <v>2</v>
      </c>
      <c r="D4" s="355">
        <v>328.5</v>
      </c>
      <c r="E4" s="355">
        <v>366.12421620702054</v>
      </c>
      <c r="F4" s="352">
        <v>14.611190045867321</v>
      </c>
      <c r="G4" s="352"/>
      <c r="H4" s="352">
        <f>25+3</f>
        <v>28</v>
      </c>
      <c r="I4" s="356" t="e">
        <f>H4/#REF!</f>
        <v>#REF!</v>
      </c>
      <c r="J4" s="363" t="s">
        <v>435</v>
      </c>
      <c r="M4" s="354" t="s">
        <v>436</v>
      </c>
    </row>
    <row r="5" spans="3:13">
      <c r="C5" s="352" t="s">
        <v>6</v>
      </c>
      <c r="D5" s="352"/>
      <c r="E5" s="352"/>
      <c r="F5" s="352"/>
      <c r="G5" s="352"/>
      <c r="H5" s="352"/>
      <c r="I5" s="353">
        <v>69</v>
      </c>
      <c r="J5" s="354" t="s">
        <v>422</v>
      </c>
    </row>
    <row r="6" spans="3:13" ht="25">
      <c r="C6" s="352" t="s">
        <v>5</v>
      </c>
      <c r="D6" s="352">
        <v>108200</v>
      </c>
      <c r="E6" s="355">
        <v>1014.1115370254763</v>
      </c>
      <c r="F6" s="352">
        <v>20.474040465562556</v>
      </c>
      <c r="G6" s="352"/>
      <c r="H6" s="352"/>
      <c r="I6" s="353">
        <v>-172</v>
      </c>
      <c r="J6" s="357" t="s">
        <v>423</v>
      </c>
    </row>
    <row r="7" spans="3:13" ht="25">
      <c r="C7" s="352" t="s">
        <v>424</v>
      </c>
      <c r="D7" s="355">
        <v>180</v>
      </c>
      <c r="E7" s="352">
        <v>7.8719766621986365</v>
      </c>
      <c r="F7" s="352">
        <v>0.76612654001318703</v>
      </c>
      <c r="G7" s="352"/>
      <c r="H7" s="352"/>
      <c r="I7" s="356">
        <f>2.5/F7*E7-E7</f>
        <v>17.815609692867262</v>
      </c>
      <c r="J7" s="354" t="s">
        <v>425</v>
      </c>
    </row>
    <row r="8" spans="3:13">
      <c r="C8" s="352" t="s">
        <v>17</v>
      </c>
      <c r="D8" s="355"/>
      <c r="E8" s="352"/>
      <c r="F8" s="352"/>
      <c r="G8" s="352"/>
      <c r="H8" s="352"/>
      <c r="I8" s="356"/>
      <c r="J8" s="354"/>
    </row>
    <row r="9" spans="3:13">
      <c r="C9" s="352" t="s">
        <v>426</v>
      </c>
      <c r="D9" s="352"/>
      <c r="E9" s="352"/>
      <c r="F9" s="352"/>
      <c r="G9" s="352"/>
      <c r="H9" s="352"/>
      <c r="I9" s="353">
        <v>75</v>
      </c>
      <c r="J9" s="354" t="s">
        <v>427</v>
      </c>
    </row>
    <row r="10" spans="3:13">
      <c r="C10" s="352"/>
      <c r="D10" s="352"/>
      <c r="E10" s="352"/>
      <c r="F10" s="352"/>
      <c r="G10" s="352"/>
      <c r="H10" s="352"/>
      <c r="I10" s="353">
        <v>483</v>
      </c>
      <c r="J10" s="354" t="s">
        <v>428</v>
      </c>
    </row>
    <row r="11" spans="3:13" ht="13">
      <c r="C11" s="351" t="s">
        <v>429</v>
      </c>
      <c r="D11" s="351"/>
      <c r="E11" s="351"/>
      <c r="F11" s="351"/>
      <c r="G11" s="351"/>
      <c r="H11" s="351"/>
      <c r="I11" s="358" t="e">
        <f>SUM(I4:I10)</f>
        <v>#REF!</v>
      </c>
      <c r="J11" s="354"/>
    </row>
    <row r="12" spans="3:13" ht="6" customHeight="1">
      <c r="C12" s="352"/>
      <c r="D12" s="352"/>
      <c r="E12" s="352"/>
      <c r="F12" s="352"/>
      <c r="G12" s="352"/>
      <c r="H12" s="352"/>
      <c r="I12" s="353"/>
      <c r="J12" s="354"/>
    </row>
    <row r="13" spans="3:13" ht="37.5">
      <c r="C13" s="352" t="s">
        <v>430</v>
      </c>
      <c r="D13" s="352"/>
      <c r="E13" s="352"/>
      <c r="F13" s="352"/>
      <c r="G13" s="352"/>
      <c r="H13" s="352">
        <v>240</v>
      </c>
      <c r="I13" s="356" t="e">
        <f>H13/#REF!</f>
        <v>#REF!</v>
      </c>
      <c r="J13" s="354" t="s">
        <v>431</v>
      </c>
    </row>
    <row r="14" spans="3:13" ht="25">
      <c r="C14" s="352"/>
      <c r="D14" s="352"/>
      <c r="E14" s="352"/>
      <c r="F14" s="352"/>
      <c r="G14" s="352"/>
      <c r="H14" s="352">
        <v>100</v>
      </c>
      <c r="I14" s="356" t="e">
        <f>H14/#REF!</f>
        <v>#REF!</v>
      </c>
      <c r="J14" s="354" t="s">
        <v>432</v>
      </c>
    </row>
    <row r="15" spans="3:13" ht="25">
      <c r="C15" s="352"/>
      <c r="D15" s="352"/>
      <c r="E15" s="352"/>
      <c r="F15" s="352"/>
      <c r="G15" s="352"/>
      <c r="H15" s="352">
        <v>200</v>
      </c>
      <c r="I15" s="356" t="e">
        <f>H15/#REF!</f>
        <v>#REF!</v>
      </c>
      <c r="J15" s="354" t="s">
        <v>433</v>
      </c>
    </row>
    <row r="16" spans="3:13">
      <c r="C16" s="352"/>
      <c r="D16" s="359"/>
      <c r="E16" s="352"/>
      <c r="F16" s="352"/>
      <c r="G16" s="352"/>
      <c r="H16" s="352"/>
      <c r="I16" s="353"/>
      <c r="J16" s="354"/>
    </row>
    <row r="17" spans="3:10" ht="13">
      <c r="C17" s="351" t="s">
        <v>434</v>
      </c>
      <c r="D17" s="360"/>
      <c r="E17" s="351"/>
      <c r="F17" s="351"/>
      <c r="G17" s="351"/>
      <c r="H17" s="351"/>
      <c r="I17" s="358" t="e">
        <f>I11+SUM(I13:I15)</f>
        <v>#REF!</v>
      </c>
      <c r="J17" s="354"/>
    </row>
    <row r="18" spans="3:10">
      <c r="D18" s="36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1207B-8CB0-461E-BD20-100851A9C50A}">
  <sheetPr>
    <tabColor rgb="FFFF0000"/>
    <pageSetUpPr fitToPage="1"/>
  </sheetPr>
  <dimension ref="A2:AD177"/>
  <sheetViews>
    <sheetView view="pageBreakPreview" zoomScale="75" zoomScaleNormal="100" zoomScaleSheetLayoutView="75" workbookViewId="0">
      <pane ySplit="5" topLeftCell="A6" activePane="bottomLeft" state="frozen"/>
      <selection activeCell="H128" sqref="H128"/>
      <selection pane="bottomLeft" activeCell="I9" sqref="I9:I11"/>
    </sheetView>
  </sheetViews>
  <sheetFormatPr defaultColWidth="8.54296875" defaultRowHeight="12.5" outlineLevelRow="1" outlineLevelCol="1"/>
  <cols>
    <col min="1" max="1" width="6.54296875" style="33" customWidth="1" outlineLevel="1"/>
    <col min="2" max="2" width="6.81640625" style="33" customWidth="1" outlineLevel="1"/>
    <col min="3" max="3" width="5.81640625" style="553" customWidth="1"/>
    <col min="4" max="4" width="5.81640625" style="644" customWidth="1"/>
    <col min="5" max="5" width="1.453125" style="55" customWidth="1"/>
    <col min="6" max="6" width="4" style="35" bestFit="1" customWidth="1"/>
    <col min="7" max="7" width="10.54296875" style="246" customWidth="1"/>
    <col min="8" max="8" width="7.54296875" style="33" customWidth="1"/>
    <col min="9" max="9" width="29.54296875" style="55" customWidth="1"/>
    <col min="10" max="10" width="8.453125" style="55" customWidth="1"/>
    <col min="11" max="11" width="49.453125" style="35" customWidth="1"/>
    <col min="12" max="12" width="9" style="35" customWidth="1"/>
    <col min="13" max="13" width="36.54296875" style="35" customWidth="1"/>
    <col min="14" max="14" width="1.453125" style="55" customWidth="1"/>
    <col min="15" max="15" width="4" style="35" bestFit="1" customWidth="1"/>
    <col min="16" max="16" width="9.453125" style="55" customWidth="1"/>
    <col min="17" max="17" width="8.453125" style="261" customWidth="1"/>
    <col min="18" max="18" width="32.1796875" style="35" customWidth="1"/>
    <col min="19" max="19" width="1.453125" style="55" customWidth="1"/>
    <col min="20" max="20" width="4" style="35" bestFit="1" customWidth="1"/>
    <col min="21" max="21" width="8.54296875" style="246" bestFit="1" customWidth="1"/>
    <col min="22" max="22" width="37.453125" style="35" customWidth="1"/>
    <col min="23" max="23" width="9" style="35" customWidth="1"/>
    <col min="24" max="24" width="37.1796875" style="35" customWidth="1"/>
    <col min="25" max="25" width="38" style="35" hidden="1" customWidth="1"/>
    <col min="26" max="26" width="2.54296875" style="55" customWidth="1"/>
    <col min="27" max="27" width="52.453125" style="610" customWidth="1" outlineLevel="1"/>
    <col min="28" max="28" width="31.453125" style="33" customWidth="1" outlineLevel="1"/>
    <col min="29" max="30" width="8.54296875" style="33" customWidth="1" outlineLevel="1"/>
    <col min="31" max="16384" width="8.54296875" style="33"/>
  </cols>
  <sheetData>
    <row r="2" spans="1:30" ht="21.65" customHeight="1">
      <c r="A2" s="591"/>
      <c r="C2" s="604" t="s">
        <v>874</v>
      </c>
      <c r="D2" s="604"/>
      <c r="E2" s="52"/>
      <c r="F2" s="605"/>
      <c r="G2" s="606"/>
      <c r="H2" s="2"/>
      <c r="I2" s="52"/>
      <c r="J2" s="52"/>
      <c r="K2" s="12"/>
      <c r="L2" s="12"/>
      <c r="M2" s="12"/>
      <c r="N2" s="52"/>
      <c r="O2" s="12"/>
      <c r="P2" s="52"/>
      <c r="Q2" s="262"/>
      <c r="R2" s="12"/>
      <c r="S2" s="52"/>
      <c r="T2" s="12"/>
      <c r="U2" s="248"/>
      <c r="V2" s="12"/>
      <c r="W2" s="12"/>
      <c r="X2" s="12"/>
    </row>
    <row r="3" spans="1:30" ht="116.15" customHeight="1" outlineLevel="1">
      <c r="A3" s="591"/>
      <c r="C3" s="1251" t="s">
        <v>911</v>
      </c>
      <c r="D3" s="1251"/>
      <c r="E3" s="1251"/>
      <c r="F3" s="1251"/>
      <c r="G3" s="1251"/>
      <c r="H3" s="1251"/>
      <c r="I3" s="1251"/>
      <c r="J3" s="1251"/>
      <c r="K3" s="1251"/>
      <c r="L3" s="1251"/>
      <c r="M3" s="1251"/>
      <c r="N3" s="1251"/>
      <c r="O3" s="1251"/>
      <c r="P3" s="1251"/>
      <c r="Q3" s="1251"/>
      <c r="R3" s="1251"/>
      <c r="S3" s="1251"/>
      <c r="T3" s="1251"/>
      <c r="U3" s="1251"/>
      <c r="V3" s="1251"/>
      <c r="W3" s="1251"/>
      <c r="X3" s="1251"/>
    </row>
    <row r="4" spans="1:30" ht="13" customHeight="1">
      <c r="A4" s="14"/>
      <c r="B4" s="14"/>
      <c r="C4" s="597"/>
      <c r="D4" s="597"/>
      <c r="F4" s="597"/>
      <c r="G4" s="599"/>
      <c r="H4" s="1234" t="s">
        <v>592</v>
      </c>
      <c r="I4" s="1234"/>
      <c r="J4" s="1234"/>
      <c r="K4" s="1234"/>
      <c r="L4" s="1234"/>
      <c r="M4" s="1234"/>
      <c r="O4" s="597"/>
      <c r="P4" s="600"/>
      <c r="Q4" s="1183" t="s">
        <v>593</v>
      </c>
      <c r="R4" s="1183"/>
      <c r="T4" s="1183" t="s">
        <v>594</v>
      </c>
      <c r="U4" s="1183"/>
      <c r="V4" s="1183"/>
      <c r="W4" s="1183"/>
      <c r="X4" s="1183"/>
      <c r="Y4" s="47" t="s">
        <v>60</v>
      </c>
      <c r="AA4" s="46" t="s">
        <v>43</v>
      </c>
    </row>
    <row r="5" spans="1:30" s="5" customFormat="1" ht="65.150000000000006" customHeight="1">
      <c r="A5" s="592" t="s">
        <v>860</v>
      </c>
      <c r="B5" s="37" t="s">
        <v>859</v>
      </c>
      <c r="C5" s="593" t="s">
        <v>855</v>
      </c>
      <c r="D5" s="598" t="s">
        <v>857</v>
      </c>
      <c r="E5" s="61"/>
      <c r="F5" s="596" t="s">
        <v>856</v>
      </c>
      <c r="G5" s="595" t="s">
        <v>738</v>
      </c>
      <c r="H5" s="101" t="s">
        <v>107</v>
      </c>
      <c r="I5" s="592" t="s">
        <v>543</v>
      </c>
      <c r="J5" s="101" t="s">
        <v>706</v>
      </c>
      <c r="K5" s="592" t="s">
        <v>544</v>
      </c>
      <c r="L5" s="592" t="s">
        <v>706</v>
      </c>
      <c r="M5" s="555" t="s">
        <v>710</v>
      </c>
      <c r="N5" s="61"/>
      <c r="O5" s="596" t="s">
        <v>856</v>
      </c>
      <c r="P5" s="594" t="s">
        <v>595</v>
      </c>
      <c r="Q5" s="83" t="s">
        <v>706</v>
      </c>
      <c r="R5" s="592" t="s">
        <v>410</v>
      </c>
      <c r="S5" s="61"/>
      <c r="T5" s="590" t="s">
        <v>856</v>
      </c>
      <c r="U5" s="83" t="s">
        <v>706</v>
      </c>
      <c r="V5" s="592" t="s">
        <v>707</v>
      </c>
      <c r="W5" s="592" t="s">
        <v>706</v>
      </c>
      <c r="X5" s="592" t="s">
        <v>708</v>
      </c>
      <c r="Y5" s="630" t="s">
        <v>114</v>
      </c>
      <c r="Z5" s="61"/>
      <c r="AA5" s="630"/>
      <c r="AD5" s="5" t="s">
        <v>598</v>
      </c>
    </row>
    <row r="6" spans="1:30" ht="70" customHeight="1">
      <c r="A6" s="1268">
        <v>1</v>
      </c>
      <c r="B6" s="1268" t="s">
        <v>858</v>
      </c>
      <c r="C6" s="1255" t="s">
        <v>0</v>
      </c>
      <c r="D6" s="1253" t="s">
        <v>570</v>
      </c>
      <c r="F6" s="175" t="s">
        <v>115</v>
      </c>
      <c r="G6" s="250">
        <v>168.7</v>
      </c>
      <c r="H6" s="470">
        <v>5</v>
      </c>
      <c r="I6" s="1238" t="s">
        <v>561</v>
      </c>
      <c r="J6" s="118">
        <v>163.69999999999999</v>
      </c>
      <c r="K6" s="1238" t="s">
        <v>603</v>
      </c>
      <c r="L6" s="513"/>
      <c r="M6" s="1300"/>
      <c r="O6" s="175" t="s">
        <v>115</v>
      </c>
      <c r="P6" s="103">
        <f>Q6+U6</f>
        <v>35</v>
      </c>
      <c r="Q6" s="265">
        <v>15</v>
      </c>
      <c r="R6" s="1219" t="s">
        <v>590</v>
      </c>
      <c r="T6" s="175" t="s">
        <v>115</v>
      </c>
      <c r="U6" s="257">
        <v>20</v>
      </c>
      <c r="V6" s="1219" t="s">
        <v>591</v>
      </c>
      <c r="W6" s="626"/>
      <c r="X6" s="626"/>
      <c r="Y6" s="1185" t="s">
        <v>62</v>
      </c>
      <c r="AA6" s="1239" t="s">
        <v>61</v>
      </c>
      <c r="AD6" s="33" t="str">
        <f>C6&amp;F6</f>
        <v>AustraliaLC bn</v>
      </c>
    </row>
    <row r="7" spans="1:30" ht="70" customHeight="1">
      <c r="A7" s="1268"/>
      <c r="B7" s="1268"/>
      <c r="C7" s="1256"/>
      <c r="D7" s="1253"/>
      <c r="F7" s="175" t="s">
        <v>116</v>
      </c>
      <c r="G7" s="251" t="e">
        <f>G6/#REF!</f>
        <v>#REF!</v>
      </c>
      <c r="H7" s="82" t="e">
        <f>H6/#REF!</f>
        <v>#REF!</v>
      </c>
      <c r="I7" s="1238"/>
      <c r="J7" s="251" t="e">
        <f>J6/VLOOKUP($C6,#REF!,7,0)</f>
        <v>#REF!</v>
      </c>
      <c r="K7" s="1238"/>
      <c r="L7" s="619"/>
      <c r="M7" s="1300"/>
      <c r="O7" s="175" t="s">
        <v>116</v>
      </c>
      <c r="P7" s="418" t="e">
        <f>P6/VLOOKUP(C6,#REF!,7,0)</f>
        <v>#REF!</v>
      </c>
      <c r="Q7" s="266" t="e">
        <f>Q6/VLOOKUP(C6,#REF!,7,0)</f>
        <v>#REF!</v>
      </c>
      <c r="R7" s="1219"/>
      <c r="T7" s="175" t="s">
        <v>116</v>
      </c>
      <c r="U7" s="285" t="e">
        <f>P7-Q7</f>
        <v>#REF!</v>
      </c>
      <c r="V7" s="1219"/>
      <c r="W7" s="626"/>
      <c r="X7" s="626"/>
      <c r="Y7" s="1185"/>
      <c r="AA7" s="1239"/>
      <c r="AD7" s="33" t="str">
        <f>C6&amp;F7</f>
        <v>AustraliaUSD bn</v>
      </c>
    </row>
    <row r="8" spans="1:30" ht="70" customHeight="1">
      <c r="A8" s="1268"/>
      <c r="B8" s="1268"/>
      <c r="C8" s="1257"/>
      <c r="D8" s="1254"/>
      <c r="E8" s="52"/>
      <c r="F8" s="53" t="s">
        <v>117</v>
      </c>
      <c r="G8" s="252" t="e">
        <f>(G6/VLOOKUP(C6,#REF!,4,0))*100</f>
        <v>#REF!</v>
      </c>
      <c r="H8" s="17" t="e">
        <f>(H6/VLOOKUP(C6,#REF!,4,0))*100</f>
        <v>#REF!</v>
      </c>
      <c r="I8" s="1192"/>
      <c r="J8" s="252" t="e">
        <f>(J6/VLOOKUP($C6,#REF!,4,0))*100</f>
        <v>#REF!</v>
      </c>
      <c r="K8" s="1192"/>
      <c r="L8" s="613"/>
      <c r="M8" s="1189"/>
      <c r="N8" s="52"/>
      <c r="O8" s="53" t="s">
        <v>117</v>
      </c>
      <c r="P8" s="173" t="e">
        <f>(P6/VLOOKUP(C6,#REF!,4,0))*100</f>
        <v>#REF!</v>
      </c>
      <c r="Q8" s="267" t="e">
        <f>(Q6/VLOOKUP(C6,#REF!,4,0))*100</f>
        <v>#REF!</v>
      </c>
      <c r="R8" s="1186"/>
      <c r="S8" s="52"/>
      <c r="T8" s="53" t="s">
        <v>117</v>
      </c>
      <c r="U8" s="77" t="e">
        <f>(U6/VLOOKUP(C6,#REF!,4,0))*100</f>
        <v>#REF!</v>
      </c>
      <c r="V8" s="1186"/>
      <c r="W8" s="609"/>
      <c r="X8" s="609"/>
      <c r="Y8" s="1186"/>
      <c r="Z8" s="52"/>
      <c r="AA8" s="1240"/>
      <c r="AD8" s="33" t="str">
        <f>C6&amp;F8</f>
        <v>Australia% GDP</v>
      </c>
    </row>
    <row r="9" spans="1:30" ht="60" customHeight="1">
      <c r="A9" s="1268">
        <v>1</v>
      </c>
      <c r="B9" s="1268" t="s">
        <v>858</v>
      </c>
      <c r="C9" s="1255" t="s">
        <v>1</v>
      </c>
      <c r="D9" s="1253" t="s">
        <v>571</v>
      </c>
      <c r="E9" s="16"/>
      <c r="F9" s="38" t="s">
        <v>115</v>
      </c>
      <c r="G9" s="253">
        <f>205-85</f>
        <v>120</v>
      </c>
      <c r="H9" s="62">
        <v>4</v>
      </c>
      <c r="I9" s="1220" t="s">
        <v>596</v>
      </c>
      <c r="J9" s="102">
        <v>116</v>
      </c>
      <c r="K9" s="1184" t="s">
        <v>597</v>
      </c>
      <c r="L9" s="102">
        <v>85</v>
      </c>
      <c r="M9" s="1184" t="s">
        <v>823</v>
      </c>
      <c r="N9" s="16"/>
      <c r="O9" s="38" t="s">
        <v>115</v>
      </c>
      <c r="P9" s="496">
        <f t="shared" ref="P9:P20" si="0">Q9+U9+W9</f>
        <v>70</v>
      </c>
      <c r="Q9" s="268">
        <v>5</v>
      </c>
      <c r="R9" s="1184" t="s">
        <v>602</v>
      </c>
      <c r="S9" s="16"/>
      <c r="T9" s="38" t="s">
        <v>115</v>
      </c>
      <c r="U9" s="253">
        <v>65</v>
      </c>
      <c r="V9" s="1184" t="s">
        <v>824</v>
      </c>
      <c r="W9" s="607"/>
      <c r="X9" s="607"/>
      <c r="Y9" s="607"/>
      <c r="Z9" s="15"/>
      <c r="AA9" s="620" t="s">
        <v>63</v>
      </c>
      <c r="AB9" s="1214" t="s">
        <v>213</v>
      </c>
      <c r="AD9" s="33" t="str">
        <f>C9&amp;F9</f>
        <v>CanadaLC bn</v>
      </c>
    </row>
    <row r="10" spans="1:30" ht="60" customHeight="1">
      <c r="A10" s="1268"/>
      <c r="B10" s="1268"/>
      <c r="C10" s="1256"/>
      <c r="D10" s="1253"/>
      <c r="E10" s="35"/>
      <c r="F10" s="175" t="s">
        <v>116</v>
      </c>
      <c r="G10" s="251" t="e">
        <f>G9/VLOOKUP(C9,#REF!,7,0)</f>
        <v>#REF!</v>
      </c>
      <c r="H10" s="82" t="e">
        <f>H9/VLOOKUP(C9,#REF!,7,0)</f>
        <v>#REF!</v>
      </c>
      <c r="I10" s="1221"/>
      <c r="J10" s="251" t="e">
        <f>J9/VLOOKUP($C9,#REF!,7,0)</f>
        <v>#REF!</v>
      </c>
      <c r="K10" s="1185"/>
      <c r="L10" s="251" t="e">
        <f>L9/VLOOKUP($C9,#REF!,7,0)</f>
        <v>#REF!</v>
      </c>
      <c r="M10" s="1185"/>
      <c r="N10" s="35"/>
      <c r="O10" s="175" t="s">
        <v>116</v>
      </c>
      <c r="P10" s="497" t="e">
        <f t="shared" si="0"/>
        <v>#REF!</v>
      </c>
      <c r="Q10" s="269" t="e">
        <f>Q9/VLOOKUP(C9,#REF!,7,0)</f>
        <v>#REF!</v>
      </c>
      <c r="R10" s="1185"/>
      <c r="S10" s="35"/>
      <c r="T10" s="175" t="s">
        <v>116</v>
      </c>
      <c r="U10" s="251" t="e">
        <f>U9/VLOOKUP(C9,#REF!,7,0)</f>
        <v>#REF!</v>
      </c>
      <c r="V10" s="1185"/>
      <c r="W10" s="608"/>
      <c r="X10" s="608"/>
      <c r="Y10" s="608"/>
      <c r="AA10" s="621"/>
      <c r="AB10" s="1215"/>
      <c r="AD10" s="33" t="str">
        <f>C9&amp;F10</f>
        <v>CanadaUSD bn</v>
      </c>
    </row>
    <row r="11" spans="1:30" ht="41.5" customHeight="1">
      <c r="A11" s="1268"/>
      <c r="B11" s="1268"/>
      <c r="C11" s="1257"/>
      <c r="D11" s="1254"/>
      <c r="E11" s="12"/>
      <c r="F11" s="53" t="s">
        <v>117</v>
      </c>
      <c r="G11" s="252" t="e">
        <f>(G9/VLOOKUP(C9,#REF!,4,0))*100</f>
        <v>#REF!</v>
      </c>
      <c r="H11" s="17" t="e">
        <f>(H9/VLOOKUP(C9,#REF!,4,0))*100</f>
        <v>#REF!</v>
      </c>
      <c r="I11" s="1222"/>
      <c r="J11" s="252" t="e">
        <f>(J9/VLOOKUP($C9,#REF!,4,0))*100</f>
        <v>#REF!</v>
      </c>
      <c r="K11" s="1186"/>
      <c r="L11" s="252" t="e">
        <f>(L9/VLOOKUP($C9,#REF!,4,0))*100</f>
        <v>#REF!</v>
      </c>
      <c r="M11" s="1186"/>
      <c r="N11" s="12"/>
      <c r="O11" s="53" t="s">
        <v>117</v>
      </c>
      <c r="P11" s="499" t="e">
        <f t="shared" si="0"/>
        <v>#REF!</v>
      </c>
      <c r="Q11" s="267" t="e">
        <f>(Q9/VLOOKUP(C9,#REF!,4,0))*100</f>
        <v>#REF!</v>
      </c>
      <c r="R11" s="1186"/>
      <c r="S11" s="12"/>
      <c r="T11" s="53" t="s">
        <v>117</v>
      </c>
      <c r="U11" s="252" t="e">
        <f>(U9/VLOOKUP(C9,#REF!,4,0))*100</f>
        <v>#REF!</v>
      </c>
      <c r="V11" s="1186"/>
      <c r="W11" s="609"/>
      <c r="X11" s="609"/>
      <c r="Y11" s="609"/>
      <c r="Z11" s="52"/>
      <c r="AA11" s="622"/>
      <c r="AB11" s="1215"/>
      <c r="AD11" s="33" t="str">
        <f>C9&amp;F11</f>
        <v>Canada% GDP</v>
      </c>
    </row>
    <row r="12" spans="1:30" ht="65.150000000000006" customHeight="1">
      <c r="A12" s="1268" t="s">
        <v>84</v>
      </c>
      <c r="B12" s="1268" t="s">
        <v>84</v>
      </c>
      <c r="C12" s="1255" t="s">
        <v>430</v>
      </c>
      <c r="D12" s="1253"/>
      <c r="E12" s="16"/>
      <c r="F12" s="175" t="s">
        <v>115</v>
      </c>
      <c r="G12" s="253">
        <v>37</v>
      </c>
      <c r="H12" s="62">
        <v>0.05</v>
      </c>
      <c r="I12" s="1220" t="s">
        <v>562</v>
      </c>
      <c r="J12" s="102">
        <v>37</v>
      </c>
      <c r="K12" s="1184" t="s">
        <v>359</v>
      </c>
      <c r="L12" s="607"/>
      <c r="M12" s="607"/>
      <c r="N12" s="16"/>
      <c r="O12" s="175" t="s">
        <v>115</v>
      </c>
      <c r="P12" s="496">
        <f t="shared" si="0"/>
        <v>405</v>
      </c>
      <c r="Q12" s="270">
        <v>340</v>
      </c>
      <c r="R12" s="1190" t="s">
        <v>854</v>
      </c>
      <c r="S12" s="16"/>
      <c r="T12" s="175" t="s">
        <v>115</v>
      </c>
      <c r="U12" s="253">
        <v>65</v>
      </c>
      <c r="V12" s="1193" t="s">
        <v>477</v>
      </c>
      <c r="W12" s="623"/>
      <c r="X12" s="623"/>
      <c r="Y12" s="1184" t="s">
        <v>74</v>
      </c>
      <c r="Z12" s="15"/>
      <c r="AA12" s="22"/>
      <c r="AD12" s="33" t="str">
        <f>C12&amp;F12</f>
        <v>European UnionLC bn</v>
      </c>
    </row>
    <row r="13" spans="1:30" ht="65.150000000000006" customHeight="1">
      <c r="A13" s="1268"/>
      <c r="B13" s="1268"/>
      <c r="C13" s="1256"/>
      <c r="D13" s="1253"/>
      <c r="E13" s="35"/>
      <c r="F13" s="175" t="s">
        <v>116</v>
      </c>
      <c r="G13" s="251" t="e">
        <f>G12/VLOOKUP(C12,#REF!,6,0)</f>
        <v>#REF!</v>
      </c>
      <c r="H13" s="258" t="e">
        <f>H12/VLOOKUP($C12,#REF!,7,0)</f>
        <v>#REF!</v>
      </c>
      <c r="I13" s="1221"/>
      <c r="J13" s="251" t="e">
        <f>J12/VLOOKUP($C12,#REF!,7,0)</f>
        <v>#REF!</v>
      </c>
      <c r="K13" s="1185"/>
      <c r="L13" s="608"/>
      <c r="M13" s="608"/>
      <c r="N13" s="35"/>
      <c r="O13" s="175" t="s">
        <v>116</v>
      </c>
      <c r="P13" s="497" t="e">
        <f t="shared" si="0"/>
        <v>#REF!</v>
      </c>
      <c r="Q13" s="266" t="e">
        <f>Q12/VLOOKUP(C12,#REF!,7,0)</f>
        <v>#REF!</v>
      </c>
      <c r="R13" s="1191"/>
      <c r="S13" s="35"/>
      <c r="T13" s="175" t="s">
        <v>116</v>
      </c>
      <c r="U13" s="251" t="e">
        <f>U12/VLOOKUP(C12,#REF!,7,0)</f>
        <v>#REF!</v>
      </c>
      <c r="V13" s="1196"/>
      <c r="W13" s="624"/>
      <c r="X13" s="624"/>
      <c r="Y13" s="1185"/>
      <c r="AA13" s="621"/>
      <c r="AD13" s="33" t="str">
        <f>C12&amp;F13</f>
        <v>European UnionUSD bn</v>
      </c>
    </row>
    <row r="14" spans="1:30" ht="65.150000000000006" customHeight="1">
      <c r="A14" s="1268"/>
      <c r="B14" s="1268"/>
      <c r="C14" s="1257"/>
      <c r="D14" s="1254"/>
      <c r="E14" s="12"/>
      <c r="F14" s="53" t="s">
        <v>117</v>
      </c>
      <c r="G14" s="252" t="e">
        <f>(G12/VLOOKUP(C12,#REF!,4,0))*100</f>
        <v>#REF!</v>
      </c>
      <c r="H14" s="252" t="e">
        <f>(H12/VLOOKUP($C12,#REF!,4,0))*100</f>
        <v>#REF!</v>
      </c>
      <c r="I14" s="1222"/>
      <c r="J14" s="252" t="e">
        <f>(J12/VLOOKUP($C12,#REF!,4,0))*100</f>
        <v>#REF!</v>
      </c>
      <c r="K14" s="1186"/>
      <c r="L14" s="609"/>
      <c r="M14" s="609"/>
      <c r="N14" s="12"/>
      <c r="O14" s="53" t="s">
        <v>117</v>
      </c>
      <c r="P14" s="499" t="e">
        <f t="shared" si="0"/>
        <v>#REF!</v>
      </c>
      <c r="Q14" s="267" t="e">
        <f>(Q12/VLOOKUP(C12,#REF!,4,0))*100</f>
        <v>#REF!</v>
      </c>
      <c r="R14" s="1192"/>
      <c r="S14" s="12"/>
      <c r="T14" s="53" t="s">
        <v>117</v>
      </c>
      <c r="U14" s="252" t="e">
        <f>(U12/VLOOKUP(C12,#REF!,4,0))*100</f>
        <v>#REF!</v>
      </c>
      <c r="V14" s="1197"/>
      <c r="W14" s="625"/>
      <c r="X14" s="625"/>
      <c r="Y14" s="1186"/>
      <c r="Z14" s="52"/>
      <c r="AA14" s="622"/>
      <c r="AD14" s="33" t="str">
        <f>C12&amp;F14</f>
        <v>European Union% GDP</v>
      </c>
    </row>
    <row r="15" spans="1:30" ht="46" customHeight="1">
      <c r="A15" s="1268">
        <v>1</v>
      </c>
      <c r="B15" s="1268" t="s">
        <v>858</v>
      </c>
      <c r="C15" s="1256" t="s">
        <v>2</v>
      </c>
      <c r="D15" s="1253" t="s">
        <v>570</v>
      </c>
      <c r="E15" s="16"/>
      <c r="F15" s="175" t="s">
        <v>115</v>
      </c>
      <c r="G15" s="253">
        <v>57.3</v>
      </c>
      <c r="H15" s="62">
        <v>8</v>
      </c>
      <c r="I15" s="1184" t="s">
        <v>563</v>
      </c>
      <c r="J15" s="177">
        <v>49.3</v>
      </c>
      <c r="K15" s="1190" t="s">
        <v>815</v>
      </c>
      <c r="L15" s="177">
        <v>55.5</v>
      </c>
      <c r="M15" s="1190" t="s">
        <v>796</v>
      </c>
      <c r="N15" s="16"/>
      <c r="O15" s="175" t="s">
        <v>115</v>
      </c>
      <c r="P15" s="496">
        <f t="shared" si="0"/>
        <v>348</v>
      </c>
      <c r="Q15" s="270">
        <v>21</v>
      </c>
      <c r="R15" s="1184" t="s">
        <v>545</v>
      </c>
      <c r="S15" s="16"/>
      <c r="T15" s="175" t="s">
        <v>115</v>
      </c>
      <c r="U15" s="253">
        <v>327</v>
      </c>
      <c r="V15" s="1184" t="s">
        <v>797</v>
      </c>
      <c r="W15" s="607"/>
      <c r="X15" s="607"/>
      <c r="Y15" s="607" t="s">
        <v>214</v>
      </c>
      <c r="Z15" s="15"/>
      <c r="AA15" s="620" t="s">
        <v>64</v>
      </c>
      <c r="AD15" s="33" t="str">
        <f>C15&amp;F15</f>
        <v>FranceLC bn</v>
      </c>
    </row>
    <row r="16" spans="1:30" ht="40" customHeight="1">
      <c r="A16" s="1268"/>
      <c r="B16" s="1268"/>
      <c r="C16" s="1256"/>
      <c r="D16" s="1253"/>
      <c r="E16" s="35"/>
      <c r="F16" s="175" t="s">
        <v>116</v>
      </c>
      <c r="G16" s="251" t="e">
        <f>G15/VLOOKUP(C15,#REF!,7,0)</f>
        <v>#REF!</v>
      </c>
      <c r="H16" s="82" t="e">
        <f>H15/VLOOKUP(C15,#REF!,7,0)</f>
        <v>#REF!</v>
      </c>
      <c r="I16" s="1185"/>
      <c r="J16" s="251" t="e">
        <f>J15/VLOOKUP($C15,#REF!,7,0)</f>
        <v>#REF!</v>
      </c>
      <c r="K16" s="1191"/>
      <c r="L16" s="251" t="e">
        <f>L15/VLOOKUP($C15,#REF!,7,0)</f>
        <v>#REF!</v>
      </c>
      <c r="M16" s="1191"/>
      <c r="N16" s="35"/>
      <c r="O16" s="175" t="s">
        <v>116</v>
      </c>
      <c r="P16" s="497" t="e">
        <f t="shared" si="0"/>
        <v>#REF!</v>
      </c>
      <c r="Q16" s="266" t="e">
        <f>Q15/VLOOKUP(C15,#REF!,7,0)</f>
        <v>#REF!</v>
      </c>
      <c r="R16" s="1185"/>
      <c r="S16" s="35"/>
      <c r="T16" s="175" t="s">
        <v>116</v>
      </c>
      <c r="U16" s="251" t="e">
        <f>U15/VLOOKUP(C15,#REF!,7,0)</f>
        <v>#REF!</v>
      </c>
      <c r="V16" s="1185"/>
      <c r="W16" s="608"/>
      <c r="X16" s="608"/>
      <c r="Y16" s="608"/>
      <c r="AA16" s="621"/>
      <c r="AD16" s="33" t="str">
        <f>C15&amp;F16</f>
        <v>FranceUSD bn</v>
      </c>
    </row>
    <row r="17" spans="1:30" s="2" customFormat="1" ht="43.5" customHeight="1">
      <c r="A17" s="1268"/>
      <c r="B17" s="1268"/>
      <c r="C17" s="1257"/>
      <c r="D17" s="1254"/>
      <c r="E17" s="12"/>
      <c r="F17" s="53" t="s">
        <v>117</v>
      </c>
      <c r="G17" s="252" t="e">
        <f>(G15/VLOOKUP(C15,#REF!,4,0))*100</f>
        <v>#REF!</v>
      </c>
      <c r="H17" s="17" t="e">
        <f>(H15/VLOOKUP(C15,#REF!,4,0))*100</f>
        <v>#REF!</v>
      </c>
      <c r="I17" s="1186"/>
      <c r="J17" s="252" t="e">
        <f>(J15/VLOOKUP($C15,#REF!,4,0))*100</f>
        <v>#REF!</v>
      </c>
      <c r="K17" s="1192"/>
      <c r="L17" s="252" t="e">
        <f>(L15/VLOOKUP($C15,#REF!,4,0))*100</f>
        <v>#REF!</v>
      </c>
      <c r="M17" s="1192"/>
      <c r="N17" s="12"/>
      <c r="O17" s="53" t="s">
        <v>117</v>
      </c>
      <c r="P17" s="499" t="e">
        <f t="shared" si="0"/>
        <v>#REF!</v>
      </c>
      <c r="Q17" s="267" t="e">
        <f>(Q15/VLOOKUP(C15,#REF!,4,0))*100</f>
        <v>#REF!</v>
      </c>
      <c r="R17" s="1186"/>
      <c r="S17" s="12"/>
      <c r="T17" s="53" t="s">
        <v>117</v>
      </c>
      <c r="U17" s="252" t="e">
        <f>(U15/VLOOKUP(C15,#REF!,4,0))*100</f>
        <v>#REF!</v>
      </c>
      <c r="V17" s="1186"/>
      <c r="W17" s="609"/>
      <c r="X17" s="609"/>
      <c r="Y17" s="609"/>
      <c r="Z17" s="52"/>
      <c r="AA17" s="622"/>
      <c r="AD17" s="33" t="str">
        <f>C15&amp;F17</f>
        <v>France% GDP</v>
      </c>
    </row>
    <row r="18" spans="1:30" s="229" customFormat="1" ht="50.15" customHeight="1">
      <c r="A18" s="1268">
        <v>1</v>
      </c>
      <c r="B18" s="1268" t="s">
        <v>858</v>
      </c>
      <c r="C18" s="1256" t="s">
        <v>3</v>
      </c>
      <c r="D18" s="1275" t="s">
        <v>570</v>
      </c>
      <c r="E18" s="16"/>
      <c r="F18" s="38" t="s">
        <v>115</v>
      </c>
      <c r="G18" s="253">
        <f>H18+J18</f>
        <v>304</v>
      </c>
      <c r="H18" s="102">
        <v>23</v>
      </c>
      <c r="I18" s="1220" t="s">
        <v>720</v>
      </c>
      <c r="J18" s="102">
        <v>281</v>
      </c>
      <c r="K18" s="1184" t="s">
        <v>825</v>
      </c>
      <c r="L18" s="617"/>
      <c r="M18" s="1184" t="s">
        <v>357</v>
      </c>
      <c r="N18" s="16"/>
      <c r="O18" s="38" t="s">
        <v>115</v>
      </c>
      <c r="P18" s="187">
        <f t="shared" si="0"/>
        <v>1020</v>
      </c>
      <c r="Q18" s="270">
        <v>200</v>
      </c>
      <c r="R18" s="1184" t="s">
        <v>289</v>
      </c>
      <c r="S18" s="16"/>
      <c r="T18" s="38" t="s">
        <v>115</v>
      </c>
      <c r="U18" s="253">
        <v>820</v>
      </c>
      <c r="V18" s="1184" t="s">
        <v>721</v>
      </c>
      <c r="W18" s="607"/>
      <c r="X18" s="607"/>
      <c r="Y18" s="1184" t="s">
        <v>65</v>
      </c>
      <c r="Z18" s="15"/>
      <c r="AA18" s="1225" t="s">
        <v>67</v>
      </c>
      <c r="AD18" s="33" t="str">
        <f>C18&amp;F18</f>
        <v>GermanyLC bn</v>
      </c>
    </row>
    <row r="19" spans="1:30" ht="50.15" customHeight="1">
      <c r="A19" s="1268"/>
      <c r="B19" s="1268"/>
      <c r="C19" s="1256"/>
      <c r="D19" s="1275"/>
      <c r="E19" s="35"/>
      <c r="F19" s="175" t="s">
        <v>116</v>
      </c>
      <c r="G19" s="251" t="e">
        <f>G18/VLOOKUP(C18,#REF!,7,0)</f>
        <v>#REF!</v>
      </c>
      <c r="H19" s="103" t="e">
        <f>H18/VLOOKUP(C18,#REF!,7,0)</f>
        <v>#REF!</v>
      </c>
      <c r="I19" s="1221"/>
      <c r="J19" s="251" t="e">
        <f>J18/VLOOKUP($C18,#REF!,7,0)</f>
        <v>#REF!</v>
      </c>
      <c r="K19" s="1219"/>
      <c r="L19" s="410"/>
      <c r="M19" s="1185"/>
      <c r="N19" s="35"/>
      <c r="O19" s="175" t="s">
        <v>116</v>
      </c>
      <c r="P19" s="256" t="e">
        <f t="shared" si="0"/>
        <v>#REF!</v>
      </c>
      <c r="Q19" s="266" t="e">
        <f>Q18/VLOOKUP(C18,#REF!,7,0)</f>
        <v>#REF!</v>
      </c>
      <c r="R19" s="1185"/>
      <c r="S19" s="35"/>
      <c r="T19" s="175" t="s">
        <v>116</v>
      </c>
      <c r="U19" s="251" t="e">
        <f>U18/VLOOKUP(C18,#REF!,7,0)</f>
        <v>#REF!</v>
      </c>
      <c r="V19" s="1185"/>
      <c r="W19" s="608"/>
      <c r="X19" s="608"/>
      <c r="Y19" s="1185"/>
      <c r="AA19" s="1226"/>
      <c r="AD19" s="33" t="str">
        <f>C18&amp;F19</f>
        <v>GermanyUSD bn</v>
      </c>
    </row>
    <row r="20" spans="1:30" ht="50.5" customHeight="1">
      <c r="A20" s="1268"/>
      <c r="B20" s="1268"/>
      <c r="C20" s="1257"/>
      <c r="D20" s="1276"/>
      <c r="E20" s="12"/>
      <c r="F20" s="53" t="s">
        <v>117</v>
      </c>
      <c r="G20" s="252" t="e">
        <f>(G18/VLOOKUP(C18,#REF!,4,0))*100</f>
        <v>#REF!</v>
      </c>
      <c r="H20" s="17" t="e">
        <f>(H18/VLOOKUP(C18,#REF!,4,0))*100</f>
        <v>#REF!</v>
      </c>
      <c r="I20" s="1222"/>
      <c r="J20" s="252" t="e">
        <f>(J18/VLOOKUP($C18,#REF!,4,0))*100</f>
        <v>#REF!</v>
      </c>
      <c r="K20" s="1186"/>
      <c r="L20" s="411"/>
      <c r="M20" s="1186"/>
      <c r="N20" s="12"/>
      <c r="O20" s="53" t="s">
        <v>117</v>
      </c>
      <c r="P20" s="499" t="e">
        <f t="shared" si="0"/>
        <v>#REF!</v>
      </c>
      <c r="Q20" s="267" t="e">
        <f>(Q18/VLOOKUP(C18,#REF!,4,0))*100</f>
        <v>#REF!</v>
      </c>
      <c r="R20" s="1186"/>
      <c r="S20" s="12"/>
      <c r="T20" s="53" t="s">
        <v>117</v>
      </c>
      <c r="U20" s="252" t="e">
        <f>(U18/VLOOKUP(C18,#REF!,4,0))*100</f>
        <v>#REF!</v>
      </c>
      <c r="V20" s="1186"/>
      <c r="W20" s="609"/>
      <c r="X20" s="609"/>
      <c r="Y20" s="1186"/>
      <c r="Z20" s="52"/>
      <c r="AA20" s="1227"/>
      <c r="AD20" s="33" t="str">
        <f>C18&amp;F20</f>
        <v>Germany% GDP</v>
      </c>
    </row>
    <row r="21" spans="1:30" ht="70" customHeight="1">
      <c r="A21" s="1268">
        <v>1</v>
      </c>
      <c r="B21" s="1268" t="s">
        <v>858</v>
      </c>
      <c r="C21" s="1256" t="s">
        <v>4</v>
      </c>
      <c r="D21" s="1253" t="s">
        <v>570</v>
      </c>
      <c r="E21" s="16"/>
      <c r="F21" s="175" t="s">
        <v>115</v>
      </c>
      <c r="G21" s="253">
        <v>55</v>
      </c>
      <c r="H21" s="62">
        <v>6.5</v>
      </c>
      <c r="I21" s="1220" t="s">
        <v>826</v>
      </c>
      <c r="J21" s="102">
        <v>48.5</v>
      </c>
      <c r="K21" s="1190" t="s">
        <v>827</v>
      </c>
      <c r="L21" s="62">
        <v>7</v>
      </c>
      <c r="M21" s="1190" t="s">
        <v>828</v>
      </c>
      <c r="N21" s="16"/>
      <c r="O21" s="175" t="s">
        <v>115</v>
      </c>
      <c r="P21" s="102">
        <f>Q21+U21</f>
        <v>533.29999999999995</v>
      </c>
      <c r="Q21" s="268">
        <v>3.3</v>
      </c>
      <c r="R21" s="1190" t="s">
        <v>604</v>
      </c>
      <c r="S21" s="16"/>
      <c r="T21" s="175" t="s">
        <v>115</v>
      </c>
      <c r="U21" s="253">
        <v>530</v>
      </c>
      <c r="V21" s="1190" t="s">
        <v>605</v>
      </c>
      <c r="W21" s="611"/>
      <c r="X21" s="1190"/>
      <c r="Y21" s="1184" t="s">
        <v>216</v>
      </c>
      <c r="Z21" s="15"/>
      <c r="AA21" s="620" t="s">
        <v>66</v>
      </c>
      <c r="AD21" s="33" t="str">
        <f>C21&amp;F21</f>
        <v>ItalyLC bn</v>
      </c>
    </row>
    <row r="22" spans="1:30" ht="70" customHeight="1">
      <c r="A22" s="1268"/>
      <c r="B22" s="1268"/>
      <c r="C22" s="1256"/>
      <c r="D22" s="1253"/>
      <c r="E22" s="35"/>
      <c r="F22" s="175" t="s">
        <v>116</v>
      </c>
      <c r="G22" s="251" t="e">
        <f>G21/VLOOKUP(C21,#REF!,7,0)</f>
        <v>#REF!</v>
      </c>
      <c r="H22" s="82" t="e">
        <f>H21/VLOOKUP(C21,#REF!,7,0)</f>
        <v>#REF!</v>
      </c>
      <c r="I22" s="1287"/>
      <c r="J22" s="251" t="e">
        <f>J21/VLOOKUP($C21,#REF!,7,0)</f>
        <v>#REF!</v>
      </c>
      <c r="K22" s="1191"/>
      <c r="L22" s="258" t="e">
        <f>L21/VLOOKUP($C21,#REF!,7,0)</f>
        <v>#REF!</v>
      </c>
      <c r="M22" s="1238"/>
      <c r="N22" s="35"/>
      <c r="O22" s="175" t="s">
        <v>116</v>
      </c>
      <c r="P22" s="251" t="e">
        <f>P21/VLOOKUP($C21,#REF!,7,0)</f>
        <v>#REF!</v>
      </c>
      <c r="Q22" s="258" t="e">
        <f>Q21/VLOOKUP($C21,#REF!,7,0)</f>
        <v>#REF!</v>
      </c>
      <c r="R22" s="1238"/>
      <c r="S22" s="35"/>
      <c r="T22" s="175" t="s">
        <v>116</v>
      </c>
      <c r="U22" s="251" t="e">
        <f>U21/VLOOKUP(C21,#REF!,7,0)</f>
        <v>#REF!</v>
      </c>
      <c r="V22" s="1191"/>
      <c r="W22" s="251"/>
      <c r="X22" s="1191"/>
      <c r="Y22" s="1185"/>
      <c r="AA22" s="197" t="s">
        <v>186</v>
      </c>
      <c r="AD22" s="33" t="str">
        <f>C21&amp;F22</f>
        <v>ItalyUSD bn</v>
      </c>
    </row>
    <row r="23" spans="1:30" ht="58.5" customHeight="1">
      <c r="A23" s="1268"/>
      <c r="B23" s="1268"/>
      <c r="C23" s="1257"/>
      <c r="D23" s="1254"/>
      <c r="E23" s="12"/>
      <c r="F23" s="53" t="s">
        <v>117</v>
      </c>
      <c r="G23" s="252" t="e">
        <f>(G21/VLOOKUP(C21,#REF!,4,0))*100</f>
        <v>#REF!</v>
      </c>
      <c r="H23" s="17" t="e">
        <f>(H21/VLOOKUP(C21,#REF!,4,0))*100</f>
        <v>#REF!</v>
      </c>
      <c r="I23" s="1222"/>
      <c r="J23" s="252" t="e">
        <f>(J21/VLOOKUP($C21,#REF!,4,0))*100</f>
        <v>#REF!</v>
      </c>
      <c r="K23" s="1192"/>
      <c r="L23" s="252" t="e">
        <f>(L21/VLOOKUP($C21,#REF!,4,0))*100</f>
        <v>#REF!</v>
      </c>
      <c r="M23" s="1192"/>
      <c r="N23" s="12"/>
      <c r="O23" s="53" t="s">
        <v>117</v>
      </c>
      <c r="P23" s="252" t="e">
        <f>(P21/VLOOKUP($C21,#REF!,4,0))*100</f>
        <v>#REF!</v>
      </c>
      <c r="Q23" s="252" t="e">
        <f>(Q21/VLOOKUP($C21,#REF!,4,0))*100</f>
        <v>#REF!</v>
      </c>
      <c r="R23" s="1192"/>
      <c r="S23" s="12"/>
      <c r="T23" s="53" t="s">
        <v>117</v>
      </c>
      <c r="U23" s="252" t="e">
        <f>(U21/VLOOKUP(C21,#REF!,4,0))*100</f>
        <v>#REF!</v>
      </c>
      <c r="V23" s="1192"/>
      <c r="W23" s="252"/>
      <c r="X23" s="1192"/>
      <c r="Y23" s="1186"/>
      <c r="Z23" s="52"/>
      <c r="AA23" s="622"/>
      <c r="AD23" s="33" t="str">
        <f>C21&amp;F23</f>
        <v>Italy% GDP</v>
      </c>
    </row>
    <row r="24" spans="1:30" ht="105" customHeight="1">
      <c r="A24" s="1268">
        <v>1</v>
      </c>
      <c r="B24" s="1268" t="s">
        <v>858</v>
      </c>
      <c r="C24" s="1301" t="s">
        <v>5</v>
      </c>
      <c r="D24" s="1277" t="s">
        <v>570</v>
      </c>
      <c r="E24" s="16"/>
      <c r="F24" s="520" t="s">
        <v>115</v>
      </c>
      <c r="G24" s="187">
        <f>H24+J24</f>
        <v>58800</v>
      </c>
      <c r="H24" s="187">
        <v>4100</v>
      </c>
      <c r="I24" s="1184" t="s">
        <v>798</v>
      </c>
      <c r="J24" s="187">
        <v>54700</v>
      </c>
      <c r="K24" s="1184" t="s">
        <v>885</v>
      </c>
      <c r="L24" s="187">
        <v>26000</v>
      </c>
      <c r="M24" s="1184" t="s">
        <v>546</v>
      </c>
      <c r="N24" s="16"/>
      <c r="O24" s="38" t="s">
        <v>115</v>
      </c>
      <c r="P24" s="408">
        <f>Q24+U24+W24</f>
        <v>124700</v>
      </c>
      <c r="Q24" s="521"/>
      <c r="R24" s="1305"/>
      <c r="S24" s="16"/>
      <c r="T24" s="38" t="s">
        <v>115</v>
      </c>
      <c r="U24" s="187">
        <v>15700</v>
      </c>
      <c r="V24" s="1305" t="s">
        <v>829</v>
      </c>
      <c r="W24" s="521">
        <v>109000</v>
      </c>
      <c r="X24" s="1305" t="s">
        <v>830</v>
      </c>
      <c r="Y24" s="1184" t="s">
        <v>298</v>
      </c>
      <c r="Z24" s="15"/>
      <c r="AA24" s="22"/>
      <c r="AD24" s="33" t="str">
        <f>C24&amp;F24</f>
        <v>JapanLC bn</v>
      </c>
    </row>
    <row r="25" spans="1:30" ht="105" customHeight="1">
      <c r="A25" s="1268"/>
      <c r="B25" s="1268"/>
      <c r="C25" s="1301"/>
      <c r="D25" s="1277"/>
      <c r="E25" s="6"/>
      <c r="F25" s="520" t="s">
        <v>116</v>
      </c>
      <c r="G25" s="522">
        <v>551.10682418759711</v>
      </c>
      <c r="H25" s="522">
        <v>38.427516652536532</v>
      </c>
      <c r="I25" s="1306"/>
      <c r="J25" s="522">
        <v>512.67930753506062</v>
      </c>
      <c r="K25" s="1219"/>
      <c r="L25" s="190">
        <v>243.68669096730486</v>
      </c>
      <c r="M25" s="1219"/>
      <c r="N25" s="6"/>
      <c r="O25" s="520" t="s">
        <v>116</v>
      </c>
      <c r="P25" s="256">
        <f t="shared" ref="P25:P26" si="1">Q25+U25+W25</f>
        <v>1168.7588601393429</v>
      </c>
      <c r="Q25" s="523"/>
      <c r="R25" s="1306"/>
      <c r="S25" s="6"/>
      <c r="T25" s="520" t="s">
        <v>116</v>
      </c>
      <c r="U25" s="522">
        <v>147.1492710841033</v>
      </c>
      <c r="V25" s="1306"/>
      <c r="W25" s="256">
        <v>1021.6095890552396</v>
      </c>
      <c r="X25" s="1306"/>
      <c r="Y25" s="1185"/>
      <c r="AA25" s="621"/>
      <c r="AD25" s="33" t="str">
        <f>C24&amp;F25</f>
        <v>JapanUSD bn</v>
      </c>
    </row>
    <row r="26" spans="1:30" s="2" customFormat="1" ht="105" customHeight="1">
      <c r="A26" s="1268"/>
      <c r="B26" s="1268"/>
      <c r="C26" s="1299"/>
      <c r="D26" s="1254"/>
      <c r="E26" s="12"/>
      <c r="F26" s="53" t="s">
        <v>117</v>
      </c>
      <c r="G26" s="17">
        <v>11.330991365634006</v>
      </c>
      <c r="H26" s="17">
        <v>0.7900861326377453</v>
      </c>
      <c r="I26" s="1307"/>
      <c r="J26" s="17">
        <v>10.540905232996261</v>
      </c>
      <c r="K26" s="1186"/>
      <c r="L26" s="633">
        <v>5.0103023045320434</v>
      </c>
      <c r="M26" s="1186"/>
      <c r="N26" s="12"/>
      <c r="O26" s="53" t="s">
        <v>117</v>
      </c>
      <c r="P26" s="17">
        <f t="shared" si="1"/>
        <v>24.030180668274838</v>
      </c>
      <c r="Q26" s="524"/>
      <c r="R26" s="1307"/>
      <c r="S26" s="12"/>
      <c r="T26" s="53" t="s">
        <v>117</v>
      </c>
      <c r="U26" s="17">
        <v>3.0254517761981954</v>
      </c>
      <c r="V26" s="1307"/>
      <c r="W26" s="524">
        <v>21.004728892076642</v>
      </c>
      <c r="X26" s="1307"/>
      <c r="Y26" s="1186"/>
      <c r="Z26" s="52"/>
      <c r="AA26" s="622"/>
      <c r="AD26" s="33" t="str">
        <f>C24&amp;F26</f>
        <v>Japan% GDP</v>
      </c>
    </row>
    <row r="27" spans="1:30" s="229" customFormat="1" ht="120" customHeight="1">
      <c r="A27" s="1268">
        <v>1</v>
      </c>
      <c r="B27" s="1268" t="s">
        <v>858</v>
      </c>
      <c r="C27" s="1301" t="s">
        <v>6</v>
      </c>
      <c r="D27" s="1253" t="s">
        <v>570</v>
      </c>
      <c r="E27" s="16"/>
      <c r="F27" s="38" t="s">
        <v>115</v>
      </c>
      <c r="G27" s="189">
        <f>H27+J27</f>
        <v>58100</v>
      </c>
      <c r="H27" s="550">
        <v>4600</v>
      </c>
      <c r="I27" s="1278" t="s">
        <v>884</v>
      </c>
      <c r="J27" s="189">
        <v>53500</v>
      </c>
      <c r="K27" s="1190" t="s">
        <v>892</v>
      </c>
      <c r="L27" s="189">
        <v>33000</v>
      </c>
      <c r="M27" s="1190" t="s">
        <v>893</v>
      </c>
      <c r="N27" s="16"/>
      <c r="O27" s="38" t="s">
        <v>115</v>
      </c>
      <c r="P27" s="416">
        <f>Q27+U27+W27</f>
        <v>181100</v>
      </c>
      <c r="Q27" s="416"/>
      <c r="R27" s="1193"/>
      <c r="S27" s="16"/>
      <c r="T27" s="38" t="s">
        <v>115</v>
      </c>
      <c r="U27" s="417">
        <v>34100</v>
      </c>
      <c r="V27" s="1190" t="s">
        <v>890</v>
      </c>
      <c r="W27" s="417">
        <v>147000</v>
      </c>
      <c r="X27" s="1184" t="s">
        <v>891</v>
      </c>
      <c r="Y27" s="1184" t="s">
        <v>70</v>
      </c>
      <c r="Z27" s="15"/>
      <c r="AA27" s="1225" t="s">
        <v>69</v>
      </c>
      <c r="AD27" s="33" t="str">
        <f>C27&amp;F27</f>
        <v>KoreaLC bn</v>
      </c>
    </row>
    <row r="28" spans="1:30" ht="120" customHeight="1">
      <c r="A28" s="1268"/>
      <c r="B28" s="1268"/>
      <c r="C28" s="1301"/>
      <c r="D28" s="1253"/>
      <c r="E28" s="35"/>
      <c r="F28" s="175" t="s">
        <v>116</v>
      </c>
      <c r="G28" s="418" t="e">
        <f>G27/VLOOKUP(C27,#REF!,7,0)</f>
        <v>#REF!</v>
      </c>
      <c r="H28" s="172" t="e">
        <f>H27/VLOOKUP(C27,#REF!,7,0)</f>
        <v>#REF!</v>
      </c>
      <c r="I28" s="1304"/>
      <c r="J28" s="251" t="e">
        <f>J27/VLOOKUP($C27,#REF!,7,0)</f>
        <v>#REF!</v>
      </c>
      <c r="K28" s="1191"/>
      <c r="L28" s="251" t="e">
        <f>L27/VLOOKUP($C27,#REF!,7,0)</f>
        <v>#REF!</v>
      </c>
      <c r="M28" s="1191"/>
      <c r="N28" s="35"/>
      <c r="O28" s="175" t="s">
        <v>116</v>
      </c>
      <c r="P28" s="251" t="e">
        <f>P27/VLOOKUP($C27,#REF!,7,0)</f>
        <v>#REF!</v>
      </c>
      <c r="Q28" s="272"/>
      <c r="R28" s="1196"/>
      <c r="S28" s="35"/>
      <c r="T28" s="175" t="s">
        <v>116</v>
      </c>
      <c r="U28" s="418" t="e">
        <f>U27/VLOOKUP(C27,#REF!,7,0)</f>
        <v>#REF!</v>
      </c>
      <c r="V28" s="1191"/>
      <c r="W28" s="472" t="e">
        <f>W27/VLOOKUP(C27,#REF!,7,0)</f>
        <v>#REF!</v>
      </c>
      <c r="X28" s="1185"/>
      <c r="Y28" s="1185"/>
      <c r="AA28" s="1226"/>
      <c r="AD28" s="33" t="str">
        <f>C27&amp;F28</f>
        <v>KoreaUSD bn</v>
      </c>
    </row>
    <row r="29" spans="1:30" ht="120" customHeight="1">
      <c r="A29" s="1268"/>
      <c r="B29" s="1268"/>
      <c r="C29" s="1299"/>
      <c r="D29" s="1254"/>
      <c r="E29" s="12"/>
      <c r="F29" s="53" t="s">
        <v>117</v>
      </c>
      <c r="G29" s="173" t="e">
        <f>(G27/VLOOKUP(C27,#REF!,4,0))*100</f>
        <v>#REF!</v>
      </c>
      <c r="H29" s="173" t="e">
        <f>(H27/VLOOKUP(C27,#REF!,4,0))*100</f>
        <v>#REF!</v>
      </c>
      <c r="I29" s="1280"/>
      <c r="J29" s="252" t="e">
        <f>(J27/VLOOKUP($C27,#REF!,4,0))*100</f>
        <v>#REF!</v>
      </c>
      <c r="K29" s="1192"/>
      <c r="L29" s="252" t="e">
        <f>(L27/VLOOKUP($C27,#REF!,4,0))*100</f>
        <v>#REF!</v>
      </c>
      <c r="M29" s="1192"/>
      <c r="N29" s="12"/>
      <c r="O29" s="53" t="s">
        <v>117</v>
      </c>
      <c r="P29" s="252" t="e">
        <f>(P27/VLOOKUP($C27,#REF!,4,0))*100</f>
        <v>#REF!</v>
      </c>
      <c r="Q29" s="273"/>
      <c r="R29" s="1197"/>
      <c r="S29" s="12"/>
      <c r="T29" s="53" t="s">
        <v>117</v>
      </c>
      <c r="U29" s="172" t="e">
        <f>(U27/VLOOKUP(C27,#REF!,4,0))*100</f>
        <v>#REF!</v>
      </c>
      <c r="V29" s="1192"/>
      <c r="W29" s="473" t="e">
        <f>(W27/VLOOKUP(C27,#REF!,4,0))*100</f>
        <v>#REF!</v>
      </c>
      <c r="X29" s="1186"/>
      <c r="Y29" s="1186"/>
      <c r="Z29" s="52"/>
      <c r="AA29" s="1227"/>
      <c r="AD29" s="33" t="str">
        <f>C27&amp;F29</f>
        <v>Korea% GDP</v>
      </c>
    </row>
    <row r="30" spans="1:30" s="610" customFormat="1" ht="127" customHeight="1">
      <c r="A30" s="1268">
        <v>1</v>
      </c>
      <c r="B30" s="1268" t="s">
        <v>858</v>
      </c>
      <c r="C30" s="1301" t="s">
        <v>32</v>
      </c>
      <c r="D30" s="1253" t="s">
        <v>570</v>
      </c>
      <c r="E30" s="629"/>
      <c r="F30" s="38" t="s">
        <v>115</v>
      </c>
      <c r="G30" s="255">
        <v>36.4</v>
      </c>
      <c r="H30" s="617">
        <v>4.3</v>
      </c>
      <c r="I30" s="1233" t="s">
        <v>564</v>
      </c>
      <c r="J30" s="177">
        <v>32.1</v>
      </c>
      <c r="K30" s="1190" t="s">
        <v>831</v>
      </c>
      <c r="L30" s="631"/>
      <c r="M30" s="1184" t="s">
        <v>722</v>
      </c>
      <c r="N30" s="629"/>
      <c r="O30" s="175" t="s">
        <v>115</v>
      </c>
      <c r="P30" s="405">
        <f>Q30+U30+W30</f>
        <v>115.024</v>
      </c>
      <c r="Q30" s="276">
        <v>0.124</v>
      </c>
      <c r="R30" s="1184" t="s">
        <v>875</v>
      </c>
      <c r="S30" s="629"/>
      <c r="T30" s="175" t="s">
        <v>115</v>
      </c>
      <c r="U30" s="255">
        <v>104.9</v>
      </c>
      <c r="V30" s="1184" t="s">
        <v>876</v>
      </c>
      <c r="W30" s="255">
        <v>10</v>
      </c>
      <c r="X30" s="1184" t="s">
        <v>219</v>
      </c>
      <c r="Y30" s="607"/>
      <c r="Z30" s="629"/>
      <c r="AA30" s="1225" t="s">
        <v>49</v>
      </c>
      <c r="AB30" s="610">
        <f>849+223</f>
        <v>1072</v>
      </c>
      <c r="AD30" s="33" t="str">
        <f>C30&amp;F30</f>
        <v>SpainLC bn</v>
      </c>
    </row>
    <row r="31" spans="1:30" s="55" customFormat="1" ht="150" customHeight="1">
      <c r="A31" s="1268"/>
      <c r="B31" s="1268"/>
      <c r="C31" s="1301"/>
      <c r="D31" s="1253"/>
      <c r="E31" s="610"/>
      <c r="F31" s="175" t="s">
        <v>116</v>
      </c>
      <c r="G31" s="251" t="e">
        <f>G30/VLOOKUP(C30,#REF!,7,0)</f>
        <v>#REF!</v>
      </c>
      <c r="H31" s="632" t="e">
        <f>H30/VLOOKUP(C30,#REF!,7,0)</f>
        <v>#REF!</v>
      </c>
      <c r="I31" s="1221"/>
      <c r="J31" s="251" t="e">
        <f>J30/VLOOKUP($C30,#REF!,7,0)</f>
        <v>#REF!</v>
      </c>
      <c r="K31" s="1238"/>
      <c r="L31" s="258"/>
      <c r="M31" s="1185"/>
      <c r="N31" s="610"/>
      <c r="O31" s="175" t="s">
        <v>116</v>
      </c>
      <c r="P31" s="406" t="e">
        <f>Q31+U31+W31</f>
        <v>#REF!</v>
      </c>
      <c r="Q31" s="279" t="e">
        <f>Q30/VLOOKUP(C30,#REF!,7,0)</f>
        <v>#REF!</v>
      </c>
      <c r="R31" s="1185"/>
      <c r="S31" s="610"/>
      <c r="T31" s="175" t="s">
        <v>116</v>
      </c>
      <c r="U31" s="251" t="e">
        <f>U30/VLOOKUP(C30,#REF!,7,0)</f>
        <v>#REF!</v>
      </c>
      <c r="V31" s="1185"/>
      <c r="W31" s="251" t="e">
        <f>W30/VLOOKUP($C30,#REF!,7,0)</f>
        <v>#REF!</v>
      </c>
      <c r="X31" s="1185"/>
      <c r="Y31" s="608"/>
      <c r="Z31" s="610"/>
      <c r="AA31" s="1226"/>
      <c r="AD31" s="33" t="str">
        <f>C30&amp;F31</f>
        <v>SpainUSD bn</v>
      </c>
    </row>
    <row r="32" spans="1:30" ht="150" customHeight="1">
      <c r="A32" s="1268"/>
      <c r="B32" s="1268"/>
      <c r="C32" s="1299"/>
      <c r="D32" s="1254"/>
      <c r="E32" s="12"/>
      <c r="F32" s="53" t="s">
        <v>117</v>
      </c>
      <c r="G32" s="252" t="e">
        <f>(G30/VLOOKUP(C30,#REF!,4,0))*100</f>
        <v>#REF!</v>
      </c>
      <c r="H32" s="647" t="e">
        <f>(H30/VLOOKUP(C30,#REF!,4,0))*100</f>
        <v>#REF!</v>
      </c>
      <c r="I32" s="1222"/>
      <c r="J32" s="252" t="e">
        <f>(J30/VLOOKUP($C30,#REF!,4,0))*100</f>
        <v>#REF!</v>
      </c>
      <c r="K32" s="1192"/>
      <c r="L32" s="252"/>
      <c r="M32" s="1186"/>
      <c r="N32" s="12"/>
      <c r="O32" s="53" t="s">
        <v>117</v>
      </c>
      <c r="P32" s="410" t="e">
        <f>Q32+U32+W32</f>
        <v>#REF!</v>
      </c>
      <c r="Q32" s="267" t="e">
        <f>(Q30/VLOOKUP(C30,#REF!,4,0))*100</f>
        <v>#REF!</v>
      </c>
      <c r="R32" s="1186"/>
      <c r="S32" s="12"/>
      <c r="T32" s="53" t="s">
        <v>117</v>
      </c>
      <c r="U32" s="252" t="e">
        <f>(U30/VLOOKUP(C30,#REF!,4,0))*100</f>
        <v>#REF!</v>
      </c>
      <c r="V32" s="1186"/>
      <c r="W32" s="252" t="e">
        <f>(W30/VLOOKUP($C30,#REF!,4,0))*100</f>
        <v>#REF!</v>
      </c>
      <c r="X32" s="1186"/>
      <c r="Y32" s="609"/>
      <c r="Z32" s="52"/>
      <c r="AA32" s="1227"/>
      <c r="AD32" s="33" t="str">
        <f>C30&amp;F32</f>
        <v>Spain% GDP</v>
      </c>
    </row>
    <row r="33" spans="1:30" ht="100" customHeight="1">
      <c r="A33" s="1268">
        <v>1</v>
      </c>
      <c r="B33" s="1268" t="s">
        <v>858</v>
      </c>
      <c r="C33" s="1256" t="s">
        <v>7</v>
      </c>
      <c r="D33" s="1253" t="s">
        <v>571</v>
      </c>
      <c r="E33" s="16"/>
      <c r="F33" s="175" t="s">
        <v>115</v>
      </c>
      <c r="G33" s="253">
        <v>124.5</v>
      </c>
      <c r="H33" s="62">
        <v>6.6</v>
      </c>
      <c r="I33" s="1220" t="s">
        <v>606</v>
      </c>
      <c r="J33" s="102">
        <f>G33-H33</f>
        <v>117.9</v>
      </c>
      <c r="K33" s="1193" t="s">
        <v>832</v>
      </c>
      <c r="L33" s="607"/>
      <c r="M33" s="1184" t="s">
        <v>607</v>
      </c>
      <c r="N33" s="16"/>
      <c r="O33" s="175" t="s">
        <v>115</v>
      </c>
      <c r="P33" s="102">
        <f>Q33+U33+W33</f>
        <v>341</v>
      </c>
      <c r="Q33" s="268">
        <v>1</v>
      </c>
      <c r="R33" s="1190" t="s">
        <v>723</v>
      </c>
      <c r="S33" s="16"/>
      <c r="T33" s="175" t="s">
        <v>115</v>
      </c>
      <c r="U33" s="253">
        <v>340</v>
      </c>
      <c r="V33" s="1190" t="s">
        <v>799</v>
      </c>
      <c r="W33" s="627"/>
      <c r="X33" s="1184"/>
      <c r="Y33" s="1244" t="s">
        <v>72</v>
      </c>
      <c r="Z33" s="15"/>
      <c r="AA33" s="1235" t="s">
        <v>71</v>
      </c>
      <c r="AD33" s="33" t="str">
        <f>C33&amp;F33</f>
        <v>United KingdomLC bn</v>
      </c>
    </row>
    <row r="34" spans="1:30" ht="88.5" customHeight="1">
      <c r="A34" s="1268"/>
      <c r="B34" s="1268"/>
      <c r="C34" s="1256"/>
      <c r="D34" s="1253"/>
      <c r="E34" s="35"/>
      <c r="F34" s="175" t="s">
        <v>116</v>
      </c>
      <c r="G34" s="251" t="e">
        <f>G33/VLOOKUP(C33,#REF!,7,0)</f>
        <v>#REF!</v>
      </c>
      <c r="H34" s="82" t="e">
        <f>H33/VLOOKUP(C33,#REF!,7,0)</f>
        <v>#REF!</v>
      </c>
      <c r="I34" s="1221"/>
      <c r="J34" s="118" t="e">
        <f>G34-H34</f>
        <v>#REF!</v>
      </c>
      <c r="K34" s="1196"/>
      <c r="L34" s="608"/>
      <c r="M34" s="1185"/>
      <c r="N34" s="35"/>
      <c r="O34" s="175" t="s">
        <v>116</v>
      </c>
      <c r="P34" s="103" t="e">
        <f>P33/VLOOKUP(C33,#REF!,7,0)</f>
        <v>#REF!</v>
      </c>
      <c r="Q34" s="269" t="e">
        <f>Q33/VLOOKUP(C33,#REF!,7,0)</f>
        <v>#REF!</v>
      </c>
      <c r="R34" s="1191"/>
      <c r="S34" s="35"/>
      <c r="T34" s="175" t="s">
        <v>116</v>
      </c>
      <c r="U34" s="251" t="e">
        <f>U33/VLOOKUP(C33,#REF!,7,0)</f>
        <v>#REF!</v>
      </c>
      <c r="V34" s="1191"/>
      <c r="W34" s="608"/>
      <c r="X34" s="1185"/>
      <c r="Y34" s="1245"/>
      <c r="AA34" s="1236"/>
      <c r="AD34" s="33" t="str">
        <f>C33&amp;F34</f>
        <v>United KingdomUSD bn</v>
      </c>
    </row>
    <row r="35" spans="1:30" s="2" customFormat="1" ht="236.25" customHeight="1">
      <c r="A35" s="1268"/>
      <c r="B35" s="1268"/>
      <c r="C35" s="1257"/>
      <c r="D35" s="1254"/>
      <c r="E35" s="12"/>
      <c r="F35" s="53" t="s">
        <v>117</v>
      </c>
      <c r="G35" s="252" t="e">
        <f>(G33/VLOOKUP(C33,#REF!,4,0))*100</f>
        <v>#REF!</v>
      </c>
      <c r="H35" s="17" t="e">
        <f>(H33/VLOOKUP(C33,#REF!,4,0))*100</f>
        <v>#REF!</v>
      </c>
      <c r="I35" s="1222"/>
      <c r="J35" s="633" t="e">
        <f>G35-H35</f>
        <v>#REF!</v>
      </c>
      <c r="K35" s="1197"/>
      <c r="L35" s="609"/>
      <c r="M35" s="1186"/>
      <c r="N35" s="12"/>
      <c r="O35" s="53" t="s">
        <v>117</v>
      </c>
      <c r="P35" s="17" t="e">
        <f>(P33/VLOOKUP(C33,#REF!,4,0))*100</f>
        <v>#REF!</v>
      </c>
      <c r="Q35" s="267" t="e">
        <f>(Q33/VLOOKUP(C33,#REF!,4,0))*100</f>
        <v>#REF!</v>
      </c>
      <c r="R35" s="1192"/>
      <c r="S35" s="12"/>
      <c r="T35" s="53" t="s">
        <v>117</v>
      </c>
      <c r="U35" s="252" t="e">
        <f>(U33/VLOOKUP(C33,#REF!,4,0))*100</f>
        <v>#REF!</v>
      </c>
      <c r="V35" s="1192"/>
      <c r="W35" s="609"/>
      <c r="X35" s="1186"/>
      <c r="Y35" s="1246"/>
      <c r="Z35" s="52"/>
      <c r="AA35" s="1237"/>
      <c r="AD35" s="33" t="str">
        <f>C33&amp;F35</f>
        <v>United Kingdom% GDP</v>
      </c>
    </row>
    <row r="36" spans="1:30" s="229" customFormat="1" ht="150" customHeight="1">
      <c r="A36" s="1268">
        <v>1</v>
      </c>
      <c r="B36" s="1268" t="s">
        <v>858</v>
      </c>
      <c r="C36" s="1256" t="s">
        <v>8</v>
      </c>
      <c r="D36" s="1253" t="s">
        <v>571</v>
      </c>
      <c r="E36" s="16"/>
      <c r="F36" s="38" t="s">
        <v>115</v>
      </c>
      <c r="G36" s="416">
        <v>2443</v>
      </c>
      <c r="H36" s="102">
        <v>304</v>
      </c>
      <c r="I36" s="1233" t="s">
        <v>833</v>
      </c>
      <c r="J36" s="416">
        <f>G36-H36</f>
        <v>2139</v>
      </c>
      <c r="K36" s="1193" t="s">
        <v>800</v>
      </c>
      <c r="L36" s="607"/>
      <c r="M36" s="1184" t="s">
        <v>807</v>
      </c>
      <c r="N36" s="16"/>
      <c r="O36" s="38" t="s">
        <v>115</v>
      </c>
      <c r="P36" s="496">
        <f t="shared" ref="P36:P38" si="2">Q36+U36+W36</f>
        <v>510</v>
      </c>
      <c r="Q36" s="471">
        <v>56</v>
      </c>
      <c r="R36" s="1190" t="s">
        <v>608</v>
      </c>
      <c r="S36" s="16"/>
      <c r="T36" s="38" t="s">
        <v>115</v>
      </c>
      <c r="U36" s="253">
        <v>454</v>
      </c>
      <c r="V36" s="1184" t="s">
        <v>275</v>
      </c>
      <c r="W36" s="607"/>
      <c r="X36" s="607"/>
      <c r="Y36" s="1184" t="s">
        <v>73</v>
      </c>
      <c r="Z36" s="15"/>
      <c r="AA36" s="22"/>
      <c r="AD36" s="33" t="str">
        <f>C36&amp;F36</f>
        <v>United StatesLC bn</v>
      </c>
    </row>
    <row r="37" spans="1:30" ht="150" customHeight="1">
      <c r="A37" s="1268"/>
      <c r="B37" s="1268"/>
      <c r="C37" s="1256"/>
      <c r="D37" s="1253"/>
      <c r="E37" s="35"/>
      <c r="F37" s="175" t="s">
        <v>116</v>
      </c>
      <c r="G37" s="256" t="e">
        <f>G36/VLOOKUP(C36,#REF!,7,0)</f>
        <v>#REF!</v>
      </c>
      <c r="H37" s="103" t="e">
        <f>H36/VLOOKUP(C36,#REF!,7,0)</f>
        <v>#REF!</v>
      </c>
      <c r="I37" s="1247"/>
      <c r="J37" s="256" t="e">
        <f>J36/VLOOKUP($C36,#REF!,7,0)</f>
        <v>#REF!</v>
      </c>
      <c r="K37" s="1196"/>
      <c r="L37" s="608"/>
      <c r="M37" s="1185"/>
      <c r="N37" s="35"/>
      <c r="O37" s="175" t="s">
        <v>116</v>
      </c>
      <c r="P37" s="497" t="e">
        <f t="shared" si="2"/>
        <v>#REF!</v>
      </c>
      <c r="Q37" s="266" t="e">
        <f>Q36/VLOOKUP(C36,#REF!,7,0)</f>
        <v>#REF!</v>
      </c>
      <c r="R37" s="1191"/>
      <c r="S37" s="35"/>
      <c r="T37" s="175" t="s">
        <v>116</v>
      </c>
      <c r="U37" s="285" t="e">
        <f>U36/VLOOKUP(C36,#REF!,7,0)</f>
        <v>#REF!</v>
      </c>
      <c r="V37" s="1185"/>
      <c r="W37" s="608"/>
      <c r="X37" s="608"/>
      <c r="Y37" s="1185"/>
      <c r="AA37" s="621"/>
      <c r="AD37" s="33" t="str">
        <f>C36&amp;F37</f>
        <v>United StatesUSD bn</v>
      </c>
    </row>
    <row r="38" spans="1:30" ht="128.5" customHeight="1">
      <c r="A38" s="1268"/>
      <c r="B38" s="1268"/>
      <c r="C38" s="1257"/>
      <c r="D38" s="1254"/>
      <c r="E38" s="12"/>
      <c r="F38" s="53" t="s">
        <v>117</v>
      </c>
      <c r="G38" s="252" t="e">
        <f>(G36/VLOOKUP(C36,#REF!,4,0))*100</f>
        <v>#REF!</v>
      </c>
      <c r="H38" s="17" t="e">
        <f>(H36/VLOOKUP(C36,#REF!,4,0))*100</f>
        <v>#REF!</v>
      </c>
      <c r="I38" s="1248"/>
      <c r="J38" s="252" t="e">
        <f>(J36/VLOOKUP($C36,#REF!,4,0))*100</f>
        <v>#REF!</v>
      </c>
      <c r="K38" s="1197"/>
      <c r="L38" s="609"/>
      <c r="M38" s="1186"/>
      <c r="N38" s="12"/>
      <c r="O38" s="53" t="s">
        <v>117</v>
      </c>
      <c r="P38" s="499" t="e">
        <f t="shared" si="2"/>
        <v>#REF!</v>
      </c>
      <c r="Q38" s="267" t="e">
        <f>(Q36/VLOOKUP(C36,#REF!,4,0))*100</f>
        <v>#REF!</v>
      </c>
      <c r="R38" s="1192"/>
      <c r="S38" s="12"/>
      <c r="T38" s="53" t="s">
        <v>117</v>
      </c>
      <c r="U38" s="78" t="e">
        <f>(U36/VLOOKUP(C36,#REF!,4,0))*100</f>
        <v>#REF!</v>
      </c>
      <c r="V38" s="1186"/>
      <c r="W38" s="609"/>
      <c r="X38" s="609"/>
      <c r="Y38" s="1186"/>
      <c r="Z38" s="52"/>
      <c r="AA38" s="622"/>
      <c r="AD38" s="33" t="str">
        <f>C36&amp;F38</f>
        <v>United States% GDP</v>
      </c>
    </row>
    <row r="39" spans="1:30" ht="120" customHeight="1">
      <c r="A39" s="1268">
        <v>1</v>
      </c>
      <c r="B39" s="1268" t="s">
        <v>861</v>
      </c>
      <c r="C39" s="1256" t="s">
        <v>9</v>
      </c>
      <c r="D39" s="1253" t="s">
        <v>571</v>
      </c>
      <c r="E39" s="35"/>
      <c r="F39" s="175" t="s">
        <v>115</v>
      </c>
      <c r="G39" s="121">
        <f>H39+J39</f>
        <v>823.5</v>
      </c>
      <c r="H39" s="103">
        <v>38.5</v>
      </c>
      <c r="I39" s="1278" t="s">
        <v>877</v>
      </c>
      <c r="J39" s="103">
        <v>785</v>
      </c>
      <c r="K39" s="1190" t="s">
        <v>834</v>
      </c>
      <c r="L39" s="103">
        <v>10</v>
      </c>
      <c r="M39" s="1190" t="s">
        <v>835</v>
      </c>
      <c r="N39" s="35"/>
      <c r="O39" s="175" t="s">
        <v>115</v>
      </c>
      <c r="P39" s="251">
        <f>Q39+U39+W39</f>
        <v>570</v>
      </c>
      <c r="Q39" s="269"/>
      <c r="R39" s="1190"/>
      <c r="S39" s="35"/>
      <c r="T39" s="175" t="s">
        <v>115</v>
      </c>
      <c r="U39" s="418">
        <v>570</v>
      </c>
      <c r="V39" s="1190" t="s">
        <v>882</v>
      </c>
      <c r="W39" s="608"/>
      <c r="X39" s="1184"/>
      <c r="Y39" s="58"/>
      <c r="AA39" s="58"/>
      <c r="AD39" s="33" t="str">
        <f>C39&amp;F39</f>
        <v>ArgentinaLC bn</v>
      </c>
    </row>
    <row r="40" spans="1:30" ht="120" customHeight="1">
      <c r="A40" s="1268"/>
      <c r="B40" s="1268"/>
      <c r="C40" s="1256"/>
      <c r="D40" s="1253"/>
      <c r="E40" s="35"/>
      <c r="F40" s="175" t="s">
        <v>116</v>
      </c>
      <c r="G40" s="257" t="e">
        <f>G39/VLOOKUP(C39,#REF!,7,0)</f>
        <v>#REF!</v>
      </c>
      <c r="H40" s="82" t="e">
        <f>H39/VLOOKUP(C39,#REF!,7,0)</f>
        <v>#REF!</v>
      </c>
      <c r="I40" s="1304"/>
      <c r="J40" s="251" t="e">
        <f>G40-H40</f>
        <v>#REF!</v>
      </c>
      <c r="K40" s="1191"/>
      <c r="L40" s="258" t="e">
        <f>L39/VLOOKUP($C39,#REF!,7,0)</f>
        <v>#REF!</v>
      </c>
      <c r="M40" s="1191"/>
      <c r="N40" s="35"/>
      <c r="O40" s="175" t="s">
        <v>116</v>
      </c>
      <c r="P40" s="258" t="e">
        <f>P39/VLOOKUP($C39,#REF!,7,0)</f>
        <v>#REF!</v>
      </c>
      <c r="Q40" s="269"/>
      <c r="R40" s="1191"/>
      <c r="S40" s="35"/>
      <c r="T40" s="175" t="s">
        <v>116</v>
      </c>
      <c r="U40" s="258" t="e">
        <f>U39/VLOOKUP($C39,#REF!,7,0)</f>
        <v>#REF!</v>
      </c>
      <c r="V40" s="1191"/>
      <c r="W40" s="608"/>
      <c r="X40" s="1185"/>
      <c r="Y40" s="608" t="s">
        <v>152</v>
      </c>
      <c r="AA40" s="621"/>
      <c r="AD40" s="33" t="str">
        <f>C39&amp;F40</f>
        <v>ArgentinaUSD bn</v>
      </c>
    </row>
    <row r="41" spans="1:30" ht="120" customHeight="1">
      <c r="A41" s="1268"/>
      <c r="B41" s="1268"/>
      <c r="C41" s="1257"/>
      <c r="D41" s="1254"/>
      <c r="E41" s="12"/>
      <c r="F41" s="53" t="s">
        <v>117</v>
      </c>
      <c r="G41" s="252" t="e">
        <f>(G39/VLOOKUP("Argentina",#REF!,4,0))*100</f>
        <v>#REF!</v>
      </c>
      <c r="H41" s="252" t="e">
        <f>(H39/VLOOKUP("Argentina",#REF!,4,0))*100</f>
        <v>#REF!</v>
      </c>
      <c r="I41" s="1280"/>
      <c r="J41" s="252" t="e">
        <f>(J39/VLOOKUP($C39,#REF!,4,0))*100</f>
        <v>#REF!</v>
      </c>
      <c r="K41" s="1192"/>
      <c r="L41" s="252" t="e">
        <f>(L39/VLOOKUP($C39,#REF!,4,0))*100</f>
        <v>#REF!</v>
      </c>
      <c r="M41" s="1192"/>
      <c r="N41" s="12"/>
      <c r="O41" s="53" t="s">
        <v>117</v>
      </c>
      <c r="P41" s="252" t="e">
        <f>(P39/VLOOKUP($C39,#REF!,4,0))*100</f>
        <v>#REF!</v>
      </c>
      <c r="Q41" s="267"/>
      <c r="R41" s="1192"/>
      <c r="S41" s="12"/>
      <c r="T41" s="53" t="s">
        <v>117</v>
      </c>
      <c r="U41" s="252" t="e">
        <f>(U39/VLOOKUP($C39,#REF!,4,0))*100</f>
        <v>#REF!</v>
      </c>
      <c r="V41" s="1192"/>
      <c r="W41" s="609"/>
      <c r="X41" s="1186"/>
      <c r="Y41" s="609"/>
      <c r="Z41" s="52"/>
      <c r="AA41" s="622"/>
      <c r="AD41" s="33" t="str">
        <f>C39&amp;F41</f>
        <v>Argentina% GDP</v>
      </c>
    </row>
    <row r="42" spans="1:30" ht="120" customHeight="1">
      <c r="A42" s="1268">
        <v>1</v>
      </c>
      <c r="B42" s="1268" t="s">
        <v>861</v>
      </c>
      <c r="C42" s="1298" t="s">
        <v>10</v>
      </c>
      <c r="D42" s="1253" t="s">
        <v>570</v>
      </c>
      <c r="E42" s="16"/>
      <c r="F42" s="175" t="s">
        <v>115</v>
      </c>
      <c r="G42" s="253">
        <f>J42+H42</f>
        <v>444.7</v>
      </c>
      <c r="H42" s="102">
        <f>54.2+6.5</f>
        <v>60.7</v>
      </c>
      <c r="I42" s="1220" t="s">
        <v>878</v>
      </c>
      <c r="J42" s="102">
        <f>374.8+9.2</f>
        <v>384</v>
      </c>
      <c r="K42" s="1193" t="s">
        <v>879</v>
      </c>
      <c r="L42" s="102">
        <v>196</v>
      </c>
      <c r="M42" s="1193" t="s">
        <v>880</v>
      </c>
      <c r="N42" s="16"/>
      <c r="O42" s="175" t="s">
        <v>115</v>
      </c>
      <c r="P42" s="102">
        <f>Q42+U42+W42</f>
        <v>367.9</v>
      </c>
      <c r="Q42" s="270">
        <v>74.900000000000006</v>
      </c>
      <c r="R42" s="1193" t="s">
        <v>881</v>
      </c>
      <c r="S42" s="534"/>
      <c r="T42" s="506" t="s">
        <v>115</v>
      </c>
      <c r="U42" s="253"/>
      <c r="V42" s="1193" t="s">
        <v>711</v>
      </c>
      <c r="W42" s="122">
        <v>293</v>
      </c>
      <c r="X42" s="1193" t="s">
        <v>883</v>
      </c>
      <c r="Y42" s="1184" t="s">
        <v>75</v>
      </c>
      <c r="Z42" s="15"/>
      <c r="AA42" s="22"/>
      <c r="AD42" s="33" t="str">
        <f>C42&amp;F42</f>
        <v>BrazilLC bn</v>
      </c>
    </row>
    <row r="43" spans="1:30" ht="92.15" customHeight="1">
      <c r="A43" s="1268"/>
      <c r="B43" s="1268"/>
      <c r="C43" s="1298"/>
      <c r="D43" s="1253"/>
      <c r="E43" s="35"/>
      <c r="F43" s="175" t="s">
        <v>116</v>
      </c>
      <c r="G43" s="251" t="e">
        <f>G42/VLOOKUP(C42,#REF!,7,0)</f>
        <v>#REF!</v>
      </c>
      <c r="H43" s="251" t="e">
        <f>H42/VLOOKUP($C42,#REF!,7,0)</f>
        <v>#REF!</v>
      </c>
      <c r="I43" s="1221"/>
      <c r="J43" s="251" t="e">
        <f>J42/VLOOKUP($C42,#REF!,7,0)</f>
        <v>#REF!</v>
      </c>
      <c r="K43" s="1196"/>
      <c r="L43" s="251" t="e">
        <f>L42/VLOOKUP($C42,#REF!,7,0)</f>
        <v>#REF!</v>
      </c>
      <c r="M43" s="1196"/>
      <c r="N43" s="35"/>
      <c r="O43" s="175" t="s">
        <v>116</v>
      </c>
      <c r="P43" s="103" t="e">
        <f>P42/VLOOKUP(C42,#REF!,7,0)</f>
        <v>#REF!</v>
      </c>
      <c r="Q43" s="266" t="e">
        <f>Q42/VLOOKUP(C42,#REF!,7,0)</f>
        <v>#REF!</v>
      </c>
      <c r="R43" s="1196"/>
      <c r="S43" s="509"/>
      <c r="T43" s="506" t="s">
        <v>116</v>
      </c>
      <c r="U43" s="258"/>
      <c r="V43" s="1196"/>
      <c r="W43" s="251" t="e">
        <f>W42/VLOOKUP($C42,#REF!,7,0)</f>
        <v>#REF!</v>
      </c>
      <c r="X43" s="1196"/>
      <c r="Y43" s="1185"/>
      <c r="AA43" s="621"/>
      <c r="AD43" s="33" t="str">
        <f>C42&amp;F43</f>
        <v>BrazilUSD bn</v>
      </c>
    </row>
    <row r="44" spans="1:30" ht="101.5" customHeight="1">
      <c r="A44" s="1268"/>
      <c r="B44" s="1268"/>
      <c r="C44" s="1299"/>
      <c r="D44" s="1254"/>
      <c r="E44" s="35"/>
      <c r="F44" s="175" t="s">
        <v>117</v>
      </c>
      <c r="G44" s="258" t="e">
        <f>(G42/VLOOKUP(C42,#REF!,4,0))*100</f>
        <v>#REF!</v>
      </c>
      <c r="H44" s="252" t="e">
        <f>(H42/VLOOKUP($C42,#REF!,4,0))*100</f>
        <v>#REF!</v>
      </c>
      <c r="I44" s="1222"/>
      <c r="J44" s="252" t="e">
        <f>(J42/VLOOKUP($C42,#REF!,4,0))*100</f>
        <v>#REF!</v>
      </c>
      <c r="K44" s="1197"/>
      <c r="L44" s="252" t="e">
        <f>(L42/VLOOKUP($C42,#REF!,4,0))*100</f>
        <v>#REF!</v>
      </c>
      <c r="M44" s="1197"/>
      <c r="N44" s="35"/>
      <c r="O44" s="175" t="s">
        <v>117</v>
      </c>
      <c r="P44" s="82" t="e">
        <f>(P42/VLOOKUP(C42,#REF!,4,0))*100</f>
        <v>#REF!</v>
      </c>
      <c r="Q44" s="269" t="e">
        <f>(Q42/VLOOKUP(C42,#REF!,4,0))*100</f>
        <v>#REF!</v>
      </c>
      <c r="R44" s="1197"/>
      <c r="S44" s="509"/>
      <c r="T44" s="506" t="s">
        <v>117</v>
      </c>
      <c r="U44" s="258"/>
      <c r="V44" s="1197"/>
      <c r="W44" s="252" t="e">
        <f>(W42/VLOOKUP($C42,#REF!,4,0))*100</f>
        <v>#REF!</v>
      </c>
      <c r="X44" s="1197"/>
      <c r="Y44" s="1186"/>
      <c r="AA44" s="621"/>
      <c r="AD44" s="33" t="str">
        <f>C42&amp;F44</f>
        <v>Brazil% GDP</v>
      </c>
    </row>
    <row r="45" spans="1:30" s="629" customFormat="1" ht="110.15" customHeight="1">
      <c r="A45" s="1268">
        <v>1</v>
      </c>
      <c r="B45" s="1268" t="s">
        <v>861</v>
      </c>
      <c r="C45" s="1298" t="s">
        <v>11</v>
      </c>
      <c r="D45" s="1253" t="s">
        <v>570</v>
      </c>
      <c r="F45" s="38" t="s">
        <v>115</v>
      </c>
      <c r="G45" s="186">
        <f>H45+J45</f>
        <v>4209</v>
      </c>
      <c r="H45" s="617">
        <v>147</v>
      </c>
      <c r="I45" s="1220" t="s">
        <v>618</v>
      </c>
      <c r="J45" s="186">
        <v>4062</v>
      </c>
      <c r="K45" s="1190" t="s">
        <v>762</v>
      </c>
      <c r="L45" s="186">
        <v>1600</v>
      </c>
      <c r="M45" s="1190" t="s">
        <v>763</v>
      </c>
      <c r="O45" s="38" t="s">
        <v>115</v>
      </c>
      <c r="P45" s="496">
        <f>Q45+U45+W45</f>
        <v>540.35</v>
      </c>
      <c r="Q45" s="274">
        <f>140+0.35</f>
        <v>140.35</v>
      </c>
      <c r="R45" s="1193" t="s">
        <v>836</v>
      </c>
      <c r="T45" s="38" t="s">
        <v>115</v>
      </c>
      <c r="U45" s="255">
        <v>400</v>
      </c>
      <c r="V45" s="1193" t="s">
        <v>837</v>
      </c>
      <c r="W45" s="627"/>
      <c r="X45" s="1190" t="s">
        <v>709</v>
      </c>
      <c r="Y45" s="1184" t="s">
        <v>76</v>
      </c>
      <c r="AA45" s="607"/>
      <c r="AD45" s="33" t="str">
        <f>C45&amp;F45</f>
        <v>ChinaLC bn</v>
      </c>
    </row>
    <row r="46" spans="1:30" ht="110.15" customHeight="1">
      <c r="A46" s="1268"/>
      <c r="B46" s="1268"/>
      <c r="C46" s="1298"/>
      <c r="D46" s="1253"/>
      <c r="E46" s="35"/>
      <c r="F46" s="175" t="s">
        <v>116</v>
      </c>
      <c r="G46" s="251" t="e">
        <f>G45/VLOOKUP(C45,#REF!,7,0)</f>
        <v>#REF!</v>
      </c>
      <c r="H46" s="251" t="e">
        <f>H45/VLOOKUP($C45,#REF!,7,0)</f>
        <v>#REF!</v>
      </c>
      <c r="I46" s="1221"/>
      <c r="J46" s="251" t="e">
        <f>J45/VLOOKUP($C45,#REF!,7,0)</f>
        <v>#REF!</v>
      </c>
      <c r="K46" s="1191"/>
      <c r="L46" s="251" t="e">
        <f>L45/VLOOKUP($C45,#REF!,7,0)</f>
        <v>#REF!</v>
      </c>
      <c r="M46" s="1191"/>
      <c r="N46" s="35"/>
      <c r="O46" s="175" t="s">
        <v>116</v>
      </c>
      <c r="P46" s="497" t="e">
        <f>Q46+U46+W46</f>
        <v>#REF!</v>
      </c>
      <c r="Q46" s="266" t="e">
        <f>Q45/VLOOKUP(C45,#REF!,7,0)</f>
        <v>#REF!</v>
      </c>
      <c r="R46" s="1196"/>
      <c r="S46" s="35"/>
      <c r="T46" s="175" t="s">
        <v>116</v>
      </c>
      <c r="U46" s="251" t="e">
        <f>U45/VLOOKUP(C45,#REF!,7,0)</f>
        <v>#REF!</v>
      </c>
      <c r="V46" s="1196"/>
      <c r="W46" s="608"/>
      <c r="X46" s="1191"/>
      <c r="Y46" s="1185"/>
      <c r="AA46" s="621"/>
      <c r="AD46" s="33" t="str">
        <f>C45&amp;F46</f>
        <v>ChinaUSD bn</v>
      </c>
    </row>
    <row r="47" spans="1:30" ht="110.15" customHeight="1">
      <c r="A47" s="1268"/>
      <c r="B47" s="1268"/>
      <c r="C47" s="1299"/>
      <c r="D47" s="1254"/>
      <c r="E47" s="12"/>
      <c r="F47" s="53" t="s">
        <v>117</v>
      </c>
      <c r="G47" s="252" t="e">
        <f>(G45/VLOOKUP(C45,#REF!,4,0))*100</f>
        <v>#REF!</v>
      </c>
      <c r="H47" s="252" t="e">
        <f>(H45/VLOOKUP($C45,#REF!,4,0))*100</f>
        <v>#REF!</v>
      </c>
      <c r="I47" s="1222"/>
      <c r="J47" s="252" t="e">
        <f>(J45/VLOOKUP($C45,#REF!,4,0))*100</f>
        <v>#REF!</v>
      </c>
      <c r="K47" s="1192"/>
      <c r="L47" s="252" t="e">
        <f>(L45/VLOOKUP($C45,#REF!,4,0))*100</f>
        <v>#REF!</v>
      </c>
      <c r="M47" s="1192"/>
      <c r="N47" s="12"/>
      <c r="O47" s="53" t="s">
        <v>117</v>
      </c>
      <c r="P47" s="499" t="e">
        <f t="shared" ref="P47" si="3">Q47+U47+W47</f>
        <v>#REF!</v>
      </c>
      <c r="Q47" s="267" t="e">
        <f>(Q45/VLOOKUP(C45,#REF!,4,0))*100</f>
        <v>#REF!</v>
      </c>
      <c r="R47" s="1197"/>
      <c r="S47" s="12"/>
      <c r="T47" s="53" t="s">
        <v>117</v>
      </c>
      <c r="U47" s="252" t="e">
        <f>(U45/VLOOKUP(C45,#REF!,4,0))*100</f>
        <v>#REF!</v>
      </c>
      <c r="V47" s="1197"/>
      <c r="W47" s="608"/>
      <c r="X47" s="1192"/>
      <c r="Y47" s="1185"/>
      <c r="AA47" s="621"/>
      <c r="AD47" s="33" t="str">
        <f>C45&amp;F47</f>
        <v>China% GDP</v>
      </c>
    </row>
    <row r="48" spans="1:30" s="629" customFormat="1" ht="61" customHeight="1">
      <c r="A48" s="1268">
        <v>1</v>
      </c>
      <c r="B48" s="1268" t="s">
        <v>861</v>
      </c>
      <c r="C48" s="1256" t="s">
        <v>12</v>
      </c>
      <c r="D48" s="1253" t="s">
        <v>571</v>
      </c>
      <c r="F48" s="38" t="s">
        <v>115</v>
      </c>
      <c r="G48" s="186">
        <v>2442.5</v>
      </c>
      <c r="H48" s="617">
        <v>150</v>
      </c>
      <c r="I48" s="1184" t="s">
        <v>802</v>
      </c>
      <c r="J48" s="186">
        <f>2292.5</f>
        <v>2292.5</v>
      </c>
      <c r="K48" s="1190" t="s">
        <v>838</v>
      </c>
      <c r="L48" s="617">
        <v>680</v>
      </c>
      <c r="M48" s="1190" t="s">
        <v>839</v>
      </c>
      <c r="O48" s="38" t="s">
        <v>115</v>
      </c>
      <c r="P48" s="186">
        <f>Q48+U48+W48</f>
        <v>9931</v>
      </c>
      <c r="Q48" s="617">
        <v>500</v>
      </c>
      <c r="R48" s="1184" t="s">
        <v>620</v>
      </c>
      <c r="T48" s="38" t="s">
        <v>115</v>
      </c>
      <c r="U48" s="185">
        <v>8531</v>
      </c>
      <c r="V48" s="1190" t="s">
        <v>840</v>
      </c>
      <c r="W48" s="617">
        <v>900</v>
      </c>
      <c r="X48" s="1184" t="s">
        <v>619</v>
      </c>
      <c r="Y48" s="607"/>
      <c r="AA48" s="1225" t="s">
        <v>57</v>
      </c>
      <c r="AD48" s="33" t="str">
        <f>C48&amp;F48</f>
        <v>IndiaLC bn</v>
      </c>
    </row>
    <row r="49" spans="1:30" s="610" customFormat="1" ht="60.65" customHeight="1">
      <c r="A49" s="1268"/>
      <c r="B49" s="1268"/>
      <c r="C49" s="1256"/>
      <c r="D49" s="1253"/>
      <c r="F49" s="175" t="s">
        <v>116</v>
      </c>
      <c r="G49" s="251" t="e">
        <f>G48/VLOOKUP(C48,#REF!,7,0)</f>
        <v>#REF!</v>
      </c>
      <c r="H49" s="258" t="e">
        <f>H48/VLOOKUP($C48,#REF!,7,0)</f>
        <v>#REF!</v>
      </c>
      <c r="I49" s="1185"/>
      <c r="J49" s="251" t="e">
        <f>J48/VLOOKUP($C48,#REF!,7,0)</f>
        <v>#REF!</v>
      </c>
      <c r="K49" s="1191"/>
      <c r="L49" s="258" t="e">
        <f>L48/VLOOKUP($C48,#REF!,7,0)</f>
        <v>#REF!</v>
      </c>
      <c r="M49" s="1191"/>
      <c r="O49" s="175" t="s">
        <v>116</v>
      </c>
      <c r="P49" s="266" t="e">
        <f>P48/VLOOKUP($C48,#REF!,7,0)</f>
        <v>#REF!</v>
      </c>
      <c r="Q49" s="269" t="e">
        <f>Q48/VLOOKUP($C48,#REF!,7,0)</f>
        <v>#REF!</v>
      </c>
      <c r="R49" s="1185"/>
      <c r="T49" s="175" t="s">
        <v>116</v>
      </c>
      <c r="U49" s="266" t="e">
        <f>U48/VLOOKUP($C48,#REF!,7,0)</f>
        <v>#REF!</v>
      </c>
      <c r="V49" s="1191"/>
      <c r="W49" s="266" t="e">
        <f>W48/VLOOKUP($C48,#REF!,7,0)</f>
        <v>#REF!</v>
      </c>
      <c r="X49" s="1185"/>
      <c r="Y49" s="608"/>
      <c r="AA49" s="1226"/>
      <c r="AD49" s="33" t="str">
        <f>C48&amp;F49</f>
        <v>IndiaUSD bn</v>
      </c>
    </row>
    <row r="50" spans="1:30" ht="103" customHeight="1">
      <c r="A50" s="1268"/>
      <c r="B50" s="1268"/>
      <c r="C50" s="1257"/>
      <c r="D50" s="1254"/>
      <c r="E50" s="35"/>
      <c r="F50" s="175" t="s">
        <v>117</v>
      </c>
      <c r="G50" s="258" t="e">
        <f>(G48/VLOOKUP(C48,#REF!,4,0))*100</f>
        <v>#REF!</v>
      </c>
      <c r="H50" s="173" t="e">
        <f>(H48/VLOOKUP($C48,#REF!,4,0))*100</f>
        <v>#REF!</v>
      </c>
      <c r="I50" s="1186"/>
      <c r="J50" s="173" t="e">
        <f>(J48/VLOOKUP($C48,#REF!,4,0))*100</f>
        <v>#REF!</v>
      </c>
      <c r="K50" s="1192"/>
      <c r="L50" s="173" t="e">
        <f>(L48/VLOOKUP($C48,#REF!,4,0))*100</f>
        <v>#REF!</v>
      </c>
      <c r="M50" s="1192"/>
      <c r="N50" s="35"/>
      <c r="O50" s="175" t="s">
        <v>117</v>
      </c>
      <c r="P50" s="173" t="e">
        <f>(P48/VLOOKUP($C48,#REF!,4,0))*100</f>
        <v>#REF!</v>
      </c>
      <c r="Q50" s="173" t="e">
        <f>(Q48/VLOOKUP($C48,#REF!,4,0))*100</f>
        <v>#REF!</v>
      </c>
      <c r="R50" s="1186"/>
      <c r="S50" s="35"/>
      <c r="T50" s="175" t="s">
        <v>117</v>
      </c>
      <c r="U50" s="173" t="e">
        <f>(U48/VLOOKUP($C48,#REF!,4,0))*100</f>
        <v>#REF!</v>
      </c>
      <c r="V50" s="1192"/>
      <c r="W50" s="173" t="e">
        <f>(W48/VLOOKUP($C48,#REF!,4,0))*100</f>
        <v>#REF!</v>
      </c>
      <c r="X50" s="1186"/>
      <c r="Y50" s="608"/>
      <c r="AA50" s="1227"/>
      <c r="AD50" s="33" t="str">
        <f>C48&amp;F50</f>
        <v>India% GDP</v>
      </c>
    </row>
    <row r="51" spans="1:30" s="629" customFormat="1" ht="73.5" customHeight="1">
      <c r="A51" s="1268">
        <v>1</v>
      </c>
      <c r="B51" s="1268" t="s">
        <v>861</v>
      </c>
      <c r="C51" s="1256" t="s">
        <v>13</v>
      </c>
      <c r="D51" s="1253" t="s">
        <v>571</v>
      </c>
      <c r="F51" s="38" t="s">
        <v>115</v>
      </c>
      <c r="G51" s="186">
        <f>H51+J51</f>
        <v>394600</v>
      </c>
      <c r="H51" s="474">
        <v>76000</v>
      </c>
      <c r="I51" s="1184" t="s">
        <v>841</v>
      </c>
      <c r="J51" s="474">
        <f>222300+96300</f>
        <v>318600</v>
      </c>
      <c r="K51" s="1193" t="s">
        <v>842</v>
      </c>
      <c r="L51" s="611"/>
      <c r="M51" s="1190" t="s">
        <v>625</v>
      </c>
      <c r="O51" s="38" t="s">
        <v>115</v>
      </c>
      <c r="P51" s="475">
        <v>185200</v>
      </c>
      <c r="Q51" s="282">
        <v>35200</v>
      </c>
      <c r="R51" s="1193" t="s">
        <v>660</v>
      </c>
      <c r="T51" s="38" t="s">
        <v>115</v>
      </c>
      <c r="U51" s="282">
        <v>150000</v>
      </c>
      <c r="V51" s="1190" t="s">
        <v>894</v>
      </c>
      <c r="W51" s="536"/>
      <c r="X51" s="611"/>
      <c r="Y51" s="607"/>
      <c r="AA51" s="607"/>
      <c r="AD51" s="33" t="str">
        <f>C51&amp;F51</f>
        <v>IndonesiaLC bn</v>
      </c>
    </row>
    <row r="52" spans="1:30" s="610" customFormat="1" ht="100" customHeight="1">
      <c r="A52" s="1268"/>
      <c r="B52" s="1268"/>
      <c r="C52" s="1256"/>
      <c r="D52" s="1253"/>
      <c r="F52" s="175" t="s">
        <v>116</v>
      </c>
      <c r="G52" s="251" t="e">
        <f>G51/VLOOKUP(C51,#REF!,7,0)</f>
        <v>#REF!</v>
      </c>
      <c r="H52" s="258" t="e">
        <f>H51/VLOOKUP($C51,#REF!,7,0)</f>
        <v>#REF!</v>
      </c>
      <c r="I52" s="1185"/>
      <c r="J52" s="418" t="e">
        <f>J51/VLOOKUP($C51,#REF!,7,0)</f>
        <v>#REF!</v>
      </c>
      <c r="K52" s="1196"/>
      <c r="L52" s="612"/>
      <c r="M52" s="1191"/>
      <c r="O52" s="175" t="s">
        <v>116</v>
      </c>
      <c r="P52" s="251" t="e">
        <f>P51/VLOOKUP($C51,#REF!,7,0)</f>
        <v>#REF!</v>
      </c>
      <c r="Q52" s="279" t="e">
        <f>Q51/VLOOKUP($C51,#REF!,7,0)</f>
        <v>#REF!</v>
      </c>
      <c r="R52" s="1290"/>
      <c r="T52" s="175" t="s">
        <v>116</v>
      </c>
      <c r="U52" s="272" t="e">
        <f>U51/VLOOKUP($C51,#REF!,7,0)</f>
        <v>#REF!</v>
      </c>
      <c r="V52" s="1191"/>
      <c r="W52" s="537"/>
      <c r="X52" s="628"/>
      <c r="Y52" s="608"/>
      <c r="AA52" s="608"/>
      <c r="AD52" s="33" t="str">
        <f>C51&amp;F52</f>
        <v>IndonesiaUSD bn</v>
      </c>
    </row>
    <row r="53" spans="1:30" s="2" customFormat="1" ht="121.5" customHeight="1">
      <c r="A53" s="1268"/>
      <c r="B53" s="1268"/>
      <c r="C53" s="1257"/>
      <c r="D53" s="1254"/>
      <c r="E53" s="12"/>
      <c r="F53" s="53" t="s">
        <v>117</v>
      </c>
      <c r="G53" s="252" t="e">
        <f>(G51/VLOOKUP(C51,#REF!,4,0))*100</f>
        <v>#REF!</v>
      </c>
      <c r="H53" s="252" t="e">
        <f>(H51/VLOOKUP($C51,#REF!,4,0))*100</f>
        <v>#REF!</v>
      </c>
      <c r="I53" s="1186"/>
      <c r="J53" s="173" t="e">
        <f>(J51/VLOOKUP($C51,#REF!,4,0))*100</f>
        <v>#REF!</v>
      </c>
      <c r="K53" s="1197"/>
      <c r="L53" s="613"/>
      <c r="M53" s="1192"/>
      <c r="N53" s="12"/>
      <c r="O53" s="53" t="s">
        <v>117</v>
      </c>
      <c r="P53" s="252" t="e">
        <f>(P51/VLOOKUP($C51,#REF!,4,0))*100</f>
        <v>#REF!</v>
      </c>
      <c r="Q53" s="273" t="e">
        <f>(Q51/VLOOKUP($C51,#REF!,4,0))*100</f>
        <v>#REF!</v>
      </c>
      <c r="R53" s="1291"/>
      <c r="S53" s="12"/>
      <c r="T53" s="53" t="s">
        <v>117</v>
      </c>
      <c r="U53" s="273" t="e">
        <f>(U51/VLOOKUP($C51,#REF!,4,0))*100</f>
        <v>#REF!</v>
      </c>
      <c r="V53" s="1192"/>
      <c r="W53" s="538"/>
      <c r="X53" s="613"/>
      <c r="Y53" s="192" t="s">
        <v>296</v>
      </c>
      <c r="Z53" s="52"/>
      <c r="AA53" s="622"/>
      <c r="AD53" s="33" t="str">
        <f>C51&amp;F53</f>
        <v>Indonesia% GDP</v>
      </c>
    </row>
    <row r="54" spans="1:30" s="37" customFormat="1" ht="60" customHeight="1">
      <c r="A54" s="1268">
        <v>1</v>
      </c>
      <c r="B54" s="1268" t="s">
        <v>861</v>
      </c>
      <c r="C54" s="1256" t="s">
        <v>14</v>
      </c>
      <c r="D54" s="1253" t="s">
        <v>572</v>
      </c>
      <c r="F54" s="175" t="s">
        <v>115</v>
      </c>
      <c r="G54" s="257">
        <f>H54+J54</f>
        <v>147.30000000000001</v>
      </c>
      <c r="H54" s="618">
        <v>40</v>
      </c>
      <c r="I54" s="1233" t="s">
        <v>864</v>
      </c>
      <c r="J54" s="118">
        <v>107.3</v>
      </c>
      <c r="K54" s="1289" t="s">
        <v>867</v>
      </c>
      <c r="L54" s="118">
        <v>46.4</v>
      </c>
      <c r="M54" s="1190" t="s">
        <v>865</v>
      </c>
      <c r="O54" s="175" t="s">
        <v>115</v>
      </c>
      <c r="P54" s="118">
        <f>SUM(Q54,U54,W54)</f>
        <v>103</v>
      </c>
      <c r="Q54" s="265">
        <v>38</v>
      </c>
      <c r="R54" s="1184" t="s">
        <v>866</v>
      </c>
      <c r="T54" s="175" t="s">
        <v>115</v>
      </c>
      <c r="U54" s="646"/>
      <c r="V54" s="608"/>
      <c r="W54" s="265">
        <v>65</v>
      </c>
      <c r="X54" s="1184" t="s">
        <v>573</v>
      </c>
      <c r="Y54" s="1184" t="s">
        <v>77</v>
      </c>
      <c r="AA54" s="1317" t="s">
        <v>868</v>
      </c>
      <c r="AD54" s="33" t="str">
        <f>C54&amp;F54</f>
        <v>MexicoLC bn</v>
      </c>
    </row>
    <row r="55" spans="1:30" s="37" customFormat="1" ht="60" customHeight="1">
      <c r="A55" s="1268"/>
      <c r="B55" s="1268"/>
      <c r="C55" s="1256"/>
      <c r="D55" s="1253"/>
      <c r="F55" s="175" t="s">
        <v>116</v>
      </c>
      <c r="G55" s="258" t="e">
        <f>G54/VLOOKUP(C54,#REF!,7,0)</f>
        <v>#REF!</v>
      </c>
      <c r="H55" s="258" t="e">
        <f>H54/VLOOKUP($C54,#REF!,7,0)</f>
        <v>#REF!</v>
      </c>
      <c r="I55" s="1247"/>
      <c r="J55" s="258" t="e">
        <f>J54/VLOOKUP($C54,#REF!,7,0)</f>
        <v>#REF!</v>
      </c>
      <c r="K55" s="1191"/>
      <c r="L55" s="258" t="e">
        <f>L54/VLOOKUP($C54,#REF!,7,0)</f>
        <v>#REF!</v>
      </c>
      <c r="M55" s="1191"/>
      <c r="O55" s="175" t="s">
        <v>116</v>
      </c>
      <c r="P55" s="258" t="e">
        <f>P54/VLOOKUP($C54,#REF!,7,0)</f>
        <v>#REF!</v>
      </c>
      <c r="Q55" s="258" t="e">
        <f>Q54/VLOOKUP($C54,#REF!,7,0)</f>
        <v>#REF!</v>
      </c>
      <c r="R55" s="1219"/>
      <c r="T55" s="175" t="s">
        <v>116</v>
      </c>
      <c r="U55" s="646"/>
      <c r="V55" s="608"/>
      <c r="W55" s="258" t="e">
        <f>W54/VLOOKUP($C54,#REF!,7,0)</f>
        <v>#REF!</v>
      </c>
      <c r="X55" s="1185"/>
      <c r="Y55" s="1185"/>
      <c r="AA55" s="1293"/>
      <c r="AD55" s="33" t="str">
        <f>C54&amp;F55</f>
        <v>MexicoUSD bn</v>
      </c>
    </row>
    <row r="56" spans="1:30" s="61" customFormat="1" ht="60" customHeight="1">
      <c r="A56" s="1268"/>
      <c r="B56" s="1268"/>
      <c r="C56" s="1257"/>
      <c r="D56" s="1254"/>
      <c r="F56" s="53" t="s">
        <v>117</v>
      </c>
      <c r="G56" s="252" t="e">
        <f>(G54/VLOOKUP(C54,#REF!,4,0))*100</f>
        <v>#REF!</v>
      </c>
      <c r="H56" s="252" t="e">
        <f>(H54/VLOOKUP($C54,#REF!,4,0))*100</f>
        <v>#REF!</v>
      </c>
      <c r="I56" s="1248"/>
      <c r="J56" s="252" t="e">
        <f>(J54/VLOOKUP($C54,#REF!,4,0))*100</f>
        <v>#REF!</v>
      </c>
      <c r="K56" s="1192"/>
      <c r="L56" s="252" t="e">
        <f>(L54/VLOOKUP($C54,#REF!,4,0))*100</f>
        <v>#REF!</v>
      </c>
      <c r="M56" s="1192"/>
      <c r="O56" s="53" t="s">
        <v>117</v>
      </c>
      <c r="P56" s="252" t="e">
        <f>(P54/VLOOKUP($C54,#REF!,4,0))*100</f>
        <v>#REF!</v>
      </c>
      <c r="Q56" s="252" t="e">
        <f>(Q54/VLOOKUP($C54,#REF!,4,0))*100</f>
        <v>#REF!</v>
      </c>
      <c r="R56" s="1186"/>
      <c r="T56" s="53" t="s">
        <v>117</v>
      </c>
      <c r="U56" s="647"/>
      <c r="V56" s="609"/>
      <c r="W56" s="252" t="e">
        <f>(W54/VLOOKUP($C54,#REF!,4,0))*100</f>
        <v>#REF!</v>
      </c>
      <c r="X56" s="1186"/>
      <c r="Y56" s="1186"/>
      <c r="AA56" s="1294"/>
      <c r="AD56" s="33" t="str">
        <f>C54&amp;F56</f>
        <v>Mexico% GDP</v>
      </c>
    </row>
    <row r="57" spans="1:30" s="610" customFormat="1" ht="99.65" customHeight="1">
      <c r="A57" s="1268">
        <v>1</v>
      </c>
      <c r="B57" s="1268" t="s">
        <v>861</v>
      </c>
      <c r="C57" s="1256" t="s">
        <v>15</v>
      </c>
      <c r="D57" s="1253" t="s">
        <v>571</v>
      </c>
      <c r="E57" s="629"/>
      <c r="F57" s="175" t="s">
        <v>115</v>
      </c>
      <c r="G57" s="186">
        <v>1882</v>
      </c>
      <c r="H57" s="617">
        <v>232</v>
      </c>
      <c r="I57" s="1184" t="s">
        <v>803</v>
      </c>
      <c r="J57" s="186">
        <v>1650</v>
      </c>
      <c r="K57" s="1190" t="s">
        <v>804</v>
      </c>
      <c r="L57" s="617">
        <v>432</v>
      </c>
      <c r="M57" s="1184" t="s">
        <v>805</v>
      </c>
      <c r="N57" s="629"/>
      <c r="O57" s="175" t="s">
        <v>115</v>
      </c>
      <c r="P57" s="177">
        <f>Q57+U57+W57</f>
        <v>1070</v>
      </c>
      <c r="Q57" s="265">
        <v>70</v>
      </c>
      <c r="R57" s="1193" t="s">
        <v>574</v>
      </c>
      <c r="S57" s="629"/>
      <c r="T57" s="175" t="s">
        <v>115</v>
      </c>
      <c r="U57" s="257">
        <v>500</v>
      </c>
      <c r="V57" s="1193" t="s">
        <v>768</v>
      </c>
      <c r="W57" s="639">
        <v>500</v>
      </c>
      <c r="X57" s="1190" t="s">
        <v>806</v>
      </c>
      <c r="Y57" s="607"/>
      <c r="Z57" s="629"/>
      <c r="AA57" s="607"/>
      <c r="AD57" s="33" t="str">
        <f>C57&amp;F57</f>
        <v>RussiaLC bn</v>
      </c>
    </row>
    <row r="58" spans="1:30" s="610" customFormat="1" ht="140.15" customHeight="1">
      <c r="A58" s="1268"/>
      <c r="B58" s="1268"/>
      <c r="C58" s="1256"/>
      <c r="D58" s="1253"/>
      <c r="F58" s="175" t="s">
        <v>116</v>
      </c>
      <c r="G58" s="251" t="e">
        <f>G57/VLOOKUP(C57,#REF!,7,0)</f>
        <v>#REF!</v>
      </c>
      <c r="H58" s="632" t="e">
        <f>H57/VLOOKUP(C57,#REF!,7,0)</f>
        <v>#REF!</v>
      </c>
      <c r="I58" s="1185"/>
      <c r="J58" s="418" t="e">
        <f>J57/VLOOKUP($C57,#REF!,7,0)</f>
        <v>#REF!</v>
      </c>
      <c r="K58" s="1191"/>
      <c r="L58" s="172" t="e">
        <f>L57/VLOOKUP($C57,#REF!,7,0)</f>
        <v>#REF!</v>
      </c>
      <c r="M58" s="1185"/>
      <c r="O58" s="175" t="s">
        <v>116</v>
      </c>
      <c r="P58" s="251" t="e">
        <f>P57/VLOOKUP($C57,#REF!,7,0)</f>
        <v>#REF!</v>
      </c>
      <c r="Q58" s="258" t="e">
        <f>Q57/VLOOKUP($C57,#REF!,7,0)</f>
        <v>#REF!</v>
      </c>
      <c r="R58" s="1196"/>
      <c r="T58" s="175" t="s">
        <v>116</v>
      </c>
      <c r="U58" s="258" t="e">
        <f>U57/VLOOKUP($C57,#REF!,7,0)</f>
        <v>#REF!</v>
      </c>
      <c r="V58" s="1196"/>
      <c r="W58" s="258" t="e">
        <f>W57/VLOOKUP($C57,#REF!,7,0)</f>
        <v>#REF!</v>
      </c>
      <c r="X58" s="1191"/>
      <c r="Y58" s="608"/>
      <c r="AA58" s="608"/>
      <c r="AD58" s="33" t="str">
        <f>C57&amp;F58</f>
        <v>RussiaUSD bn</v>
      </c>
    </row>
    <row r="59" spans="1:30" ht="140.15" customHeight="1">
      <c r="A59" s="1268"/>
      <c r="B59" s="1268"/>
      <c r="C59" s="1257"/>
      <c r="D59" s="1254"/>
      <c r="E59" s="35"/>
      <c r="F59" s="175" t="s">
        <v>117</v>
      </c>
      <c r="G59" s="258" t="e">
        <f>(G57/VLOOKUP(C57,#REF!,4,0))*100</f>
        <v>#REF!</v>
      </c>
      <c r="H59" s="495" t="e">
        <f>(H57/VLOOKUP(C57,#REF!,4,0))*100</f>
        <v>#REF!</v>
      </c>
      <c r="I59" s="1186"/>
      <c r="J59" s="173" t="e">
        <f>(J57/VLOOKUP($C57,#REF!,4,0))*100</f>
        <v>#REF!</v>
      </c>
      <c r="K59" s="1192"/>
      <c r="L59" s="173" t="e">
        <f>(L57/VLOOKUP($C57,#REF!,4,0))*100</f>
        <v>#REF!</v>
      </c>
      <c r="M59" s="1186"/>
      <c r="N59" s="35"/>
      <c r="O59" s="175" t="s">
        <v>117</v>
      </c>
      <c r="P59" s="252" t="e">
        <f>P57/VLOOKUP($C57,#REF!,4,0)*100</f>
        <v>#REF!</v>
      </c>
      <c r="Q59" s="252" t="e">
        <f>Q57/VLOOKUP($C57,#REF!,4,0)*100</f>
        <v>#REF!</v>
      </c>
      <c r="R59" s="1197"/>
      <c r="S59" s="35"/>
      <c r="T59" s="175" t="s">
        <v>117</v>
      </c>
      <c r="U59" s="252" t="e">
        <f>(U57/VLOOKUP($C57,#REF!,4,0))*100</f>
        <v>#REF!</v>
      </c>
      <c r="V59" s="1197"/>
      <c r="W59" s="252" t="e">
        <f>(W57/VLOOKUP($C57,#REF!,4,0))*100</f>
        <v>#REF!</v>
      </c>
      <c r="X59" s="1192"/>
      <c r="Y59" s="608"/>
      <c r="AA59" s="621"/>
      <c r="AD59" s="33" t="str">
        <f>C57&amp;F59</f>
        <v>Russia% GDP</v>
      </c>
    </row>
    <row r="60" spans="1:30" s="629" customFormat="1" ht="39.65" customHeight="1">
      <c r="A60" s="1268">
        <v>1</v>
      </c>
      <c r="B60" s="1268" t="s">
        <v>861</v>
      </c>
      <c r="C60" s="1256" t="s">
        <v>16</v>
      </c>
      <c r="D60" s="1253" t="s">
        <v>570</v>
      </c>
      <c r="F60" s="38" t="s">
        <v>115</v>
      </c>
      <c r="G60" s="255">
        <v>56.9</v>
      </c>
      <c r="H60" s="617">
        <v>47</v>
      </c>
      <c r="I60" s="1193" t="s">
        <v>849</v>
      </c>
      <c r="J60" s="645">
        <v>9.9</v>
      </c>
      <c r="K60" s="1193" t="s">
        <v>843</v>
      </c>
      <c r="L60" s="636">
        <v>48</v>
      </c>
      <c r="M60" s="1193" t="s">
        <v>624</v>
      </c>
      <c r="O60" s="38" t="s">
        <v>115</v>
      </c>
      <c r="P60" s="496">
        <f t="shared" ref="P60:P62" si="4">Q60+U60+W60</f>
        <v>22</v>
      </c>
      <c r="Q60" s="274">
        <v>22</v>
      </c>
      <c r="R60" s="1184" t="s">
        <v>739</v>
      </c>
      <c r="T60" s="38" t="s">
        <v>115</v>
      </c>
      <c r="U60" s="645"/>
      <c r="V60" s="607"/>
      <c r="W60" s="607"/>
      <c r="X60" s="607"/>
      <c r="Y60" s="607"/>
      <c r="AA60" s="1225" t="s">
        <v>59</v>
      </c>
      <c r="AD60" s="33" t="str">
        <f>C60&amp;F60</f>
        <v>Saudi ArabiaLC bn</v>
      </c>
    </row>
    <row r="61" spans="1:30" s="610" customFormat="1" ht="50.15" customHeight="1">
      <c r="A61" s="1268"/>
      <c r="B61" s="1268"/>
      <c r="C61" s="1256"/>
      <c r="D61" s="1253"/>
      <c r="F61" s="175" t="s">
        <v>116</v>
      </c>
      <c r="G61" s="251" t="e">
        <f>G60/#REF!</f>
        <v>#REF!</v>
      </c>
      <c r="H61" s="251" t="e">
        <f>H60/VLOOKUP($C60,#REF!,7,0)</f>
        <v>#REF!</v>
      </c>
      <c r="I61" s="1196"/>
      <c r="J61" s="258" t="e">
        <f>J60/VLOOKUP($C60,#REF!,7,0)</f>
        <v>#REF!</v>
      </c>
      <c r="K61" s="1196"/>
      <c r="L61" s="251" t="e">
        <f>L60/VLOOKUP($C60,#REF!,7,0)</f>
        <v>#REF!</v>
      </c>
      <c r="M61" s="1196"/>
      <c r="O61" s="175" t="s">
        <v>116</v>
      </c>
      <c r="P61" s="412" t="e">
        <f t="shared" si="4"/>
        <v>#REF!</v>
      </c>
      <c r="Q61" s="269" t="e">
        <f>Q60/VLOOKUP(C60,#REF!,7,0)</f>
        <v>#REF!</v>
      </c>
      <c r="R61" s="1185"/>
      <c r="T61" s="175" t="s">
        <v>116</v>
      </c>
      <c r="U61" s="646"/>
      <c r="V61" s="608"/>
      <c r="W61" s="608"/>
      <c r="X61" s="608"/>
      <c r="Y61" s="608"/>
      <c r="AA61" s="1226"/>
      <c r="AD61" s="33" t="str">
        <f>C60&amp;F61</f>
        <v>Saudi ArabiaUSD bn</v>
      </c>
    </row>
    <row r="62" spans="1:30" ht="38.5" customHeight="1">
      <c r="A62" s="1268"/>
      <c r="B62" s="1268"/>
      <c r="C62" s="1257"/>
      <c r="D62" s="1254"/>
      <c r="E62" s="12"/>
      <c r="F62" s="53" t="s">
        <v>117</v>
      </c>
      <c r="G62" s="252" t="e">
        <f>G60/#REF!*100</f>
        <v>#REF!</v>
      </c>
      <c r="H62" s="252" t="e">
        <f>(H60/VLOOKUP($C60,#REF!,4,0))*100</f>
        <v>#REF!</v>
      </c>
      <c r="I62" s="1197"/>
      <c r="J62" s="252" t="e">
        <f>(J60/VLOOKUP($C60,#REF!,4,0))*100</f>
        <v>#REF!</v>
      </c>
      <c r="K62" s="1197"/>
      <c r="L62" s="252" t="e">
        <f>(L60/VLOOKUP($C60,#REF!,4,0))*100</f>
        <v>#REF!</v>
      </c>
      <c r="M62" s="1197"/>
      <c r="N62" s="12"/>
      <c r="O62" s="53" t="s">
        <v>117</v>
      </c>
      <c r="P62" s="499" t="e">
        <f t="shared" si="4"/>
        <v>#REF!</v>
      </c>
      <c r="Q62" s="267" t="e">
        <f>(Q60/VLOOKUP(C60,#REF!,4,0))*100</f>
        <v>#REF!</v>
      </c>
      <c r="R62" s="1186"/>
      <c r="S62" s="12"/>
      <c r="T62" s="53" t="s">
        <v>117</v>
      </c>
      <c r="U62" s="252"/>
      <c r="V62" s="609"/>
      <c r="W62" s="609"/>
      <c r="X62" s="609"/>
      <c r="Y62" s="609"/>
      <c r="Z62" s="52"/>
      <c r="AA62" s="622"/>
      <c r="AD62" s="33" t="str">
        <f>C60&amp;F62</f>
        <v>Saudi Arabia% GDP</v>
      </c>
    </row>
    <row r="63" spans="1:30" s="610" customFormat="1" ht="61" customHeight="1">
      <c r="A63" s="1268">
        <v>1</v>
      </c>
      <c r="B63" s="1268" t="s">
        <v>861</v>
      </c>
      <c r="C63" s="1256" t="s">
        <v>17</v>
      </c>
      <c r="D63" s="1253" t="s">
        <v>570</v>
      </c>
      <c r="E63" s="629"/>
      <c r="F63" s="175" t="s">
        <v>115</v>
      </c>
      <c r="G63" s="255">
        <f>H63+J63</f>
        <v>257</v>
      </c>
      <c r="H63" s="255">
        <v>20</v>
      </c>
      <c r="I63" s="1184" t="s">
        <v>844</v>
      </c>
      <c r="J63" s="255">
        <v>237</v>
      </c>
      <c r="K63" s="1190" t="s">
        <v>845</v>
      </c>
      <c r="L63" s="255">
        <v>44</v>
      </c>
      <c r="M63" s="1190" t="s">
        <v>846</v>
      </c>
      <c r="N63" s="629"/>
      <c r="O63" s="175" t="s">
        <v>115</v>
      </c>
      <c r="P63" s="177">
        <f>SUM(Q63,U63,W63)</f>
        <v>203</v>
      </c>
      <c r="Q63" s="274"/>
      <c r="R63" s="1193"/>
      <c r="S63" s="629"/>
      <c r="T63" s="175" t="s">
        <v>115</v>
      </c>
      <c r="U63" s="255">
        <v>200</v>
      </c>
      <c r="V63" s="1190" t="s">
        <v>847</v>
      </c>
      <c r="W63" s="631">
        <v>3</v>
      </c>
      <c r="X63" s="1190" t="s">
        <v>575</v>
      </c>
      <c r="Y63" s="607"/>
      <c r="Z63" s="629"/>
      <c r="AA63" s="607"/>
      <c r="AD63" s="33" t="str">
        <f>C63&amp;F63</f>
        <v>South AfricaLC bn</v>
      </c>
    </row>
    <row r="64" spans="1:30" s="610" customFormat="1" ht="110.15" customHeight="1">
      <c r="A64" s="1268"/>
      <c r="B64" s="1268"/>
      <c r="C64" s="1256"/>
      <c r="D64" s="1253"/>
      <c r="F64" s="175" t="s">
        <v>116</v>
      </c>
      <c r="G64" s="251" t="e">
        <f>G63/#REF!</f>
        <v>#REF!</v>
      </c>
      <c r="H64" s="258" t="e">
        <f>H63/VLOOKUP($C63,#REF!,7,0)</f>
        <v>#REF!</v>
      </c>
      <c r="I64" s="1185"/>
      <c r="J64" s="418" t="e">
        <f>J63/VLOOKUP($C63,#REF!,7,0)</f>
        <v>#REF!</v>
      </c>
      <c r="K64" s="1191"/>
      <c r="L64" s="172" t="e">
        <f>L63/VLOOKUP($C63,#REF!,7,0)</f>
        <v>#REF!</v>
      </c>
      <c r="M64" s="1191"/>
      <c r="O64" s="175" t="s">
        <v>116</v>
      </c>
      <c r="P64" s="118" t="e">
        <f>SUM(Q64,U64, W64)</f>
        <v>#REF!</v>
      </c>
      <c r="Q64" s="269"/>
      <c r="R64" s="1196"/>
      <c r="T64" s="175" t="s">
        <v>116</v>
      </c>
      <c r="U64" s="257" t="e">
        <f>U63/VLOOKUP(C63,#REF!,7,0)</f>
        <v>#REF!</v>
      </c>
      <c r="V64" s="1191"/>
      <c r="W64" s="632" t="e">
        <f>W63/VLOOKUP(C63,#REF!,7,0)</f>
        <v>#REF!</v>
      </c>
      <c r="X64" s="1191"/>
      <c r="Y64" s="608"/>
      <c r="AA64" s="608"/>
      <c r="AD64" s="33" t="str">
        <f>C63&amp;F64</f>
        <v>South AfricaUSD bn</v>
      </c>
    </row>
    <row r="65" spans="1:30" ht="118.5" customHeight="1">
      <c r="A65" s="1268"/>
      <c r="B65" s="1268"/>
      <c r="C65" s="1257"/>
      <c r="D65" s="1254"/>
      <c r="E65" s="12"/>
      <c r="F65" s="53" t="s">
        <v>117</v>
      </c>
      <c r="G65" s="252" t="e">
        <f>G63/#REF!*100</f>
        <v>#REF!</v>
      </c>
      <c r="H65" s="252" t="e">
        <f>(H63/VLOOKUP($C63,#REF!,4,0))*100</f>
        <v>#REF!</v>
      </c>
      <c r="I65" s="1186"/>
      <c r="J65" s="173" t="e">
        <f>(J63/VLOOKUP($C63,#REF!,4,0))*100</f>
        <v>#REF!</v>
      </c>
      <c r="K65" s="1192"/>
      <c r="L65" s="173" t="e">
        <f>(L63/VLOOKUP($C63,#REF!,4,0))*100</f>
        <v>#REF!</v>
      </c>
      <c r="M65" s="1192"/>
      <c r="N65" s="12"/>
      <c r="O65" s="53" t="s">
        <v>117</v>
      </c>
      <c r="P65" s="17" t="e">
        <f>SUM(Q65,U65, W64)</f>
        <v>#REF!</v>
      </c>
      <c r="Q65" s="267"/>
      <c r="R65" s="1197"/>
      <c r="S65" s="12"/>
      <c r="T65" s="53" t="s">
        <v>117</v>
      </c>
      <c r="U65" s="252" t="e">
        <f>(U63/VLOOKUP(C63,#REF!,4,0))*100</f>
        <v>#REF!</v>
      </c>
      <c r="V65" s="1192"/>
      <c r="W65" s="633" t="e">
        <f>(W63/VLOOKUP(C63,#REF!,4,0))*100</f>
        <v>#REF!</v>
      </c>
      <c r="X65" s="1192"/>
      <c r="Y65" s="609"/>
      <c r="Z65" s="52"/>
      <c r="AA65" s="622"/>
      <c r="AD65" s="33" t="str">
        <f>C63&amp;F65</f>
        <v>South Africa% GDP</v>
      </c>
    </row>
    <row r="66" spans="1:30" s="37" customFormat="1" ht="88.5" customHeight="1">
      <c r="A66" s="1268">
        <v>1</v>
      </c>
      <c r="B66" s="1268" t="s">
        <v>861</v>
      </c>
      <c r="C66" s="1256" t="s">
        <v>18</v>
      </c>
      <c r="D66" s="1253" t="s">
        <v>572</v>
      </c>
      <c r="E66" s="14"/>
      <c r="F66" s="175" t="s">
        <v>115</v>
      </c>
      <c r="G66" s="255">
        <f>J66</f>
        <v>11</v>
      </c>
      <c r="H66" s="617"/>
      <c r="I66" s="1190"/>
      <c r="J66" s="119">
        <v>11</v>
      </c>
      <c r="K66" s="1190" t="s">
        <v>886</v>
      </c>
      <c r="L66" s="119">
        <v>65.900000000000006</v>
      </c>
      <c r="M66" s="1190" t="s">
        <v>887</v>
      </c>
      <c r="N66" s="14"/>
      <c r="O66" s="175" t="s">
        <v>115</v>
      </c>
      <c r="P66" s="177">
        <f>Q66+U66+W66</f>
        <v>420.9</v>
      </c>
      <c r="Q66" s="274">
        <v>20</v>
      </c>
      <c r="R66" s="1193" t="s">
        <v>848</v>
      </c>
      <c r="S66" s="14"/>
      <c r="T66" s="175" t="s">
        <v>115</v>
      </c>
      <c r="U66" s="255">
        <v>298</v>
      </c>
      <c r="V66" s="1184" t="s">
        <v>888</v>
      </c>
      <c r="W66" s="177">
        <v>102.9</v>
      </c>
      <c r="X66" s="1193" t="s">
        <v>897</v>
      </c>
      <c r="Y66" s="607"/>
      <c r="Z66" s="14"/>
      <c r="AA66" s="607"/>
      <c r="AD66" s="33" t="str">
        <f>C66&amp;F66</f>
        <v>TurkeyLC bn</v>
      </c>
    </row>
    <row r="67" spans="1:30" s="37" customFormat="1" ht="71.150000000000006" customHeight="1">
      <c r="A67" s="1268"/>
      <c r="B67" s="1268"/>
      <c r="C67" s="1256"/>
      <c r="D67" s="1253"/>
      <c r="F67" s="175" t="s">
        <v>116</v>
      </c>
      <c r="G67" s="258" t="e">
        <f>G66/VLOOKUP(C66,#REF!,7,0)</f>
        <v>#REF!</v>
      </c>
      <c r="H67" s="618"/>
      <c r="I67" s="1191"/>
      <c r="J67" s="172" t="e">
        <f>J66/VLOOKUP($C66,#REF!,7,0)</f>
        <v>#REF!</v>
      </c>
      <c r="K67" s="1191"/>
      <c r="L67" s="172" t="e">
        <f>L66/VLOOKUP($C66,#REF!,7,0)</f>
        <v>#REF!</v>
      </c>
      <c r="M67" s="1191"/>
      <c r="O67" s="175" t="s">
        <v>116</v>
      </c>
      <c r="P67" s="418" t="e">
        <f>P66/VLOOKUP($C66,#REF!,7,0)</f>
        <v>#REF!</v>
      </c>
      <c r="Q67" s="172" t="e">
        <f>Q66/VLOOKUP($C66,#REF!,7,0)</f>
        <v>#REF!</v>
      </c>
      <c r="R67" s="1196"/>
      <c r="T67" s="175" t="s">
        <v>116</v>
      </c>
      <c r="U67" s="251" t="e">
        <f>U66/VLOOKUP(C66,#REF!,7,0)</f>
        <v>#REF!</v>
      </c>
      <c r="V67" s="1185"/>
      <c r="W67" s="251" t="e">
        <f>W66/VLOOKUP(C66,#REF!,7,0)</f>
        <v>#REF!</v>
      </c>
      <c r="X67" s="1196"/>
      <c r="Y67" s="608"/>
      <c r="AA67" s="608"/>
      <c r="AD67" s="33" t="str">
        <f>C66&amp;F67</f>
        <v>TurkeyUSD bn</v>
      </c>
    </row>
    <row r="68" spans="1:30" ht="100" customHeight="1">
      <c r="A68" s="1268"/>
      <c r="B68" s="1268"/>
      <c r="C68" s="1257"/>
      <c r="D68" s="1254"/>
      <c r="E68" s="12"/>
      <c r="F68" s="53" t="s">
        <v>117</v>
      </c>
      <c r="G68" s="252" t="e">
        <f>(G66/VLOOKUP(C66,#REF!,4,0))*100</f>
        <v>#REF!</v>
      </c>
      <c r="H68" s="97"/>
      <c r="I68" s="1192"/>
      <c r="J68" s="173" t="e">
        <f>(J66/VLOOKUP($C66,#REF!,4,0))*100</f>
        <v>#REF!</v>
      </c>
      <c r="K68" s="1192"/>
      <c r="L68" s="173" t="e">
        <f>(L66/VLOOKUP($C66,#REF!,4,0))*100</f>
        <v>#REF!</v>
      </c>
      <c r="M68" s="1192"/>
      <c r="N68" s="12"/>
      <c r="O68" s="53" t="s">
        <v>117</v>
      </c>
      <c r="P68" s="173" t="e">
        <f>(P66/VLOOKUP($C66,#REF!,4,0))*100</f>
        <v>#REF!</v>
      </c>
      <c r="Q68" s="173" t="e">
        <f>(Q66/VLOOKUP($C66,#REF!,4,0))*100</f>
        <v>#REF!</v>
      </c>
      <c r="R68" s="1197"/>
      <c r="S68" s="12"/>
      <c r="T68" s="53" t="s">
        <v>117</v>
      </c>
      <c r="U68" s="252" t="e">
        <f>(U66/VLOOKUP(C66,#REF!,4,0))*100</f>
        <v>#REF!</v>
      </c>
      <c r="V68" s="1186"/>
      <c r="W68" s="252" t="e">
        <f>(W66/VLOOKUP(C66,#REF!,4,0))*100</f>
        <v>#REF!</v>
      </c>
      <c r="X68" s="1197"/>
      <c r="Y68" s="609"/>
      <c r="Z68" s="52"/>
      <c r="AA68" s="622"/>
      <c r="AD68" s="33" t="str">
        <f>C66&amp;F68</f>
        <v>Turkey% GDP</v>
      </c>
    </row>
    <row r="69" spans="1:30" ht="66" customHeight="1">
      <c r="A69" s="1268">
        <v>0</v>
      </c>
      <c r="B69" s="1268" t="s">
        <v>858</v>
      </c>
      <c r="C69" s="1256" t="s">
        <v>547</v>
      </c>
      <c r="D69" s="1253" t="s">
        <v>570</v>
      </c>
      <c r="F69" s="175" t="s">
        <v>115</v>
      </c>
      <c r="G69" s="251">
        <v>14.4</v>
      </c>
      <c r="H69" s="258">
        <v>2.1</v>
      </c>
      <c r="I69" s="1318" t="s">
        <v>780</v>
      </c>
      <c r="J69" s="103">
        <v>12.3</v>
      </c>
      <c r="K69" s="1190" t="s">
        <v>851</v>
      </c>
      <c r="L69" s="616">
        <v>11</v>
      </c>
      <c r="M69" s="1184" t="s">
        <v>852</v>
      </c>
      <c r="O69" s="175" t="s">
        <v>115</v>
      </c>
      <c r="P69" s="496">
        <f t="shared" ref="P69:P80" si="5">Q69+U69+W69</f>
        <v>52</v>
      </c>
      <c r="Q69" s="269"/>
      <c r="R69" s="58"/>
      <c r="T69" s="175" t="s">
        <v>115</v>
      </c>
      <c r="U69" s="251">
        <v>52</v>
      </c>
      <c r="V69" s="1184" t="s">
        <v>895</v>
      </c>
      <c r="W69" s="58"/>
      <c r="X69" s="58"/>
      <c r="AD69" s="33" t="str">
        <f>C69&amp;F69</f>
        <v>BelgiumLC bn</v>
      </c>
    </row>
    <row r="70" spans="1:30" ht="99.65" customHeight="1">
      <c r="A70" s="1268"/>
      <c r="B70" s="1268"/>
      <c r="C70" s="1256"/>
      <c r="D70" s="1253"/>
      <c r="F70" s="175" t="s">
        <v>116</v>
      </c>
      <c r="G70" s="251" t="e">
        <f>G69/VLOOKUP($C69,#REF!,7,0)</f>
        <v>#REF!</v>
      </c>
      <c r="H70" s="258" t="e">
        <f>H69/VLOOKUP($C69,#REF!,7,0)</f>
        <v>#REF!</v>
      </c>
      <c r="I70" s="1185"/>
      <c r="J70" s="251" t="e">
        <f>J69/VLOOKUP($C69,#REF!,7,0)</f>
        <v>#REF!</v>
      </c>
      <c r="K70" s="1238"/>
      <c r="L70" s="251" t="e">
        <f>L69/VLOOKUP($C69,#REF!,7,0)</f>
        <v>#REF!</v>
      </c>
      <c r="M70" s="1219"/>
      <c r="O70" s="175" t="s">
        <v>116</v>
      </c>
      <c r="P70" s="497" t="e">
        <f t="shared" si="5"/>
        <v>#REF!</v>
      </c>
      <c r="Q70" s="251"/>
      <c r="R70" s="58"/>
      <c r="T70" s="175" t="s">
        <v>116</v>
      </c>
      <c r="U70" s="251" t="e">
        <f>U69/VLOOKUP($C69,#REF!,7,0)</f>
        <v>#REF!</v>
      </c>
      <c r="V70" s="1219"/>
      <c r="W70" s="58"/>
      <c r="X70" s="58"/>
      <c r="AD70" s="33" t="str">
        <f>C69&amp;F70</f>
        <v>BelgiumUSD bn</v>
      </c>
    </row>
    <row r="71" spans="1:30" ht="169.5" customHeight="1">
      <c r="A71" s="1268"/>
      <c r="B71" s="1268"/>
      <c r="C71" s="1257"/>
      <c r="D71" s="1254"/>
      <c r="F71" s="53" t="s">
        <v>117</v>
      </c>
      <c r="G71" s="252" t="e">
        <f>G69/VLOOKUP($C69,#REF!,4,0)*100</f>
        <v>#REF!</v>
      </c>
      <c r="H71" s="252" t="e">
        <f>H69/VLOOKUP($C69,#REF!,4,0)*100</f>
        <v>#REF!</v>
      </c>
      <c r="I71" s="1186"/>
      <c r="J71" s="252" t="e">
        <f>J69/VLOOKUP($C69,#REF!,4,0)*100</f>
        <v>#REF!</v>
      </c>
      <c r="K71" s="1192"/>
      <c r="L71" s="252" t="e">
        <f>L69/VLOOKUP($C69,#REF!,4,0)*100</f>
        <v>#REF!</v>
      </c>
      <c r="M71" s="1186"/>
      <c r="O71" s="53" t="s">
        <v>117</v>
      </c>
      <c r="P71" s="499" t="e">
        <f t="shared" si="5"/>
        <v>#REF!</v>
      </c>
      <c r="Q71" s="252"/>
      <c r="R71" s="58"/>
      <c r="T71" s="53" t="s">
        <v>117</v>
      </c>
      <c r="U71" s="252" t="e">
        <f>U69/VLOOKUP($C69,#REF!,4,0)*100</f>
        <v>#REF!</v>
      </c>
      <c r="V71" s="1186"/>
      <c r="W71" s="58"/>
      <c r="X71" s="58"/>
      <c r="AD71" s="33" t="str">
        <f>C69&amp;F71</f>
        <v>Belgium% GDP</v>
      </c>
    </row>
    <row r="72" spans="1:30" ht="144.65" customHeight="1">
      <c r="A72" s="1268">
        <v>0</v>
      </c>
      <c r="B72" s="1268" t="s">
        <v>858</v>
      </c>
      <c r="C72" s="1256" t="s">
        <v>542</v>
      </c>
      <c r="D72" s="1253" t="s">
        <v>570</v>
      </c>
      <c r="E72" s="15"/>
      <c r="F72" s="175" t="s">
        <v>115</v>
      </c>
      <c r="G72" s="255">
        <f>H72+J72</f>
        <v>270</v>
      </c>
      <c r="H72" s="617">
        <v>47</v>
      </c>
      <c r="I72" s="1190" t="s">
        <v>717</v>
      </c>
      <c r="J72" s="255">
        <v>223</v>
      </c>
      <c r="K72" s="1190" t="s">
        <v>761</v>
      </c>
      <c r="L72" s="611"/>
      <c r="M72" s="1190" t="s">
        <v>718</v>
      </c>
      <c r="N72" s="14"/>
      <c r="O72" s="175" t="s">
        <v>115</v>
      </c>
      <c r="P72" s="496">
        <f t="shared" si="5"/>
        <v>500.8</v>
      </c>
      <c r="Q72" s="276">
        <v>0.8</v>
      </c>
      <c r="R72" s="1190" t="s">
        <v>719</v>
      </c>
      <c r="S72" s="14"/>
      <c r="T72" s="175" t="s">
        <v>115</v>
      </c>
      <c r="U72" s="255">
        <v>500</v>
      </c>
      <c r="V72" s="1193" t="s">
        <v>734</v>
      </c>
      <c r="W72" s="255"/>
      <c r="X72" s="1184"/>
      <c r="AD72" s="33" t="str">
        <f>C72&amp;F72</f>
        <v>Czech RepublicLC bn</v>
      </c>
    </row>
    <row r="73" spans="1:30" ht="153" customHeight="1">
      <c r="A73" s="1268"/>
      <c r="B73" s="1268"/>
      <c r="C73" s="1256"/>
      <c r="D73" s="1253"/>
      <c r="F73" s="175" t="s">
        <v>116</v>
      </c>
      <c r="G73" s="251" t="e">
        <f>G72/VLOOKUP($C72,#REF!,7,0)</f>
        <v>#REF!</v>
      </c>
      <c r="H73" s="632" t="e">
        <f>H72/VLOOKUP($C72,#REF!,7,0)</f>
        <v>#REF!</v>
      </c>
      <c r="I73" s="1238"/>
      <c r="J73" s="258" t="e">
        <f>J72/VLOOKUP($C72,#REF!,7,0)</f>
        <v>#REF!</v>
      </c>
      <c r="K73" s="1238"/>
      <c r="L73" s="612"/>
      <c r="M73" s="1238"/>
      <c r="N73" s="37"/>
      <c r="O73" s="175" t="s">
        <v>116</v>
      </c>
      <c r="P73" s="497" t="e">
        <f t="shared" si="5"/>
        <v>#REF!</v>
      </c>
      <c r="Q73" s="277" t="e">
        <f>Q72/VLOOKUP($C72,#REF!,7,0)</f>
        <v>#REF!</v>
      </c>
      <c r="R73" s="1238"/>
      <c r="S73" s="37"/>
      <c r="T73" s="175" t="s">
        <v>116</v>
      </c>
      <c r="U73" s="251" t="e">
        <f>U72/VLOOKUP($C72,#REF!,7,0)</f>
        <v>#REF!</v>
      </c>
      <c r="V73" s="1216"/>
      <c r="W73" s="258"/>
      <c r="X73" s="1185"/>
      <c r="AD73" s="33" t="str">
        <f>C72&amp;F73</f>
        <v>Czech RepublicUSD bn</v>
      </c>
    </row>
    <row r="74" spans="1:30" ht="165" customHeight="1">
      <c r="A74" s="1268"/>
      <c r="B74" s="1268"/>
      <c r="C74" s="1257"/>
      <c r="D74" s="1254"/>
      <c r="F74" s="53" t="s">
        <v>117</v>
      </c>
      <c r="G74" s="252" t="e">
        <f>G72/VLOOKUP($C72,#REF!,4,0)*100</f>
        <v>#REF!</v>
      </c>
      <c r="H74" s="647" t="e">
        <f>H72/VLOOKUP($C72,#REF!,4,0)*100</f>
        <v>#REF!</v>
      </c>
      <c r="I74" s="1192"/>
      <c r="J74" s="252" t="e">
        <f>J72/VLOOKUP($C72,#REF!,4,0)*100</f>
        <v>#REF!</v>
      </c>
      <c r="K74" s="1192"/>
      <c r="L74" s="613"/>
      <c r="M74" s="1192"/>
      <c r="N74" s="12"/>
      <c r="O74" s="53" t="s">
        <v>117</v>
      </c>
      <c r="P74" s="499" t="e">
        <f t="shared" si="5"/>
        <v>#REF!</v>
      </c>
      <c r="Q74" s="267" t="e">
        <f>Q72/VLOOKUP($C72,#REF!,4,0)*100</f>
        <v>#REF!</v>
      </c>
      <c r="R74" s="1192"/>
      <c r="S74" s="12"/>
      <c r="T74" s="53" t="s">
        <v>117</v>
      </c>
      <c r="U74" s="252" t="e">
        <f>U72/VLOOKUP($C72,#REF!,4,0)*100</f>
        <v>#REF!</v>
      </c>
      <c r="V74" s="1197"/>
      <c r="W74" s="252"/>
      <c r="X74" s="1186"/>
      <c r="AD74" s="33" t="str">
        <f>C72&amp;F74</f>
        <v>Czech Republic% GDP</v>
      </c>
    </row>
    <row r="75" spans="1:30" s="610" customFormat="1" ht="57.65" customHeight="1">
      <c r="A75" s="1268">
        <v>0</v>
      </c>
      <c r="B75" s="1268" t="s">
        <v>858</v>
      </c>
      <c r="C75" s="1256" t="s">
        <v>19</v>
      </c>
      <c r="D75" s="1253" t="s">
        <v>570</v>
      </c>
      <c r="E75" s="629"/>
      <c r="F75" s="175" t="s">
        <v>115</v>
      </c>
      <c r="G75" s="257">
        <v>126</v>
      </c>
      <c r="H75" s="618">
        <v>0.8</v>
      </c>
      <c r="I75" s="1221" t="s">
        <v>785</v>
      </c>
      <c r="J75" s="118">
        <v>125.2</v>
      </c>
      <c r="K75" s="1190" t="s">
        <v>740</v>
      </c>
      <c r="L75" s="190">
        <f>1+90+35+35+5+0.4</f>
        <v>166.4</v>
      </c>
      <c r="M75" s="1219" t="s">
        <v>568</v>
      </c>
      <c r="O75" s="175" t="s">
        <v>115</v>
      </c>
      <c r="P75" s="496">
        <f t="shared" si="5"/>
        <v>211.5</v>
      </c>
      <c r="Q75" s="265">
        <f>35+1.5+3.4</f>
        <v>39.9</v>
      </c>
      <c r="R75" s="1219" t="s">
        <v>610</v>
      </c>
      <c r="T75" s="175" t="s">
        <v>115</v>
      </c>
      <c r="U75" s="257">
        <v>171.6</v>
      </c>
      <c r="V75" s="1219" t="s">
        <v>569</v>
      </c>
      <c r="W75" s="608"/>
      <c r="X75" s="608"/>
      <c r="Y75" s="1185" t="s">
        <v>109</v>
      </c>
      <c r="AA75" s="517" t="s">
        <v>611</v>
      </c>
      <c r="AD75" s="33" t="str">
        <f>C75&amp;F75</f>
        <v>DenmarkLC bn</v>
      </c>
    </row>
    <row r="76" spans="1:30" ht="80.150000000000006" customHeight="1">
      <c r="A76" s="1268"/>
      <c r="B76" s="1268"/>
      <c r="C76" s="1256"/>
      <c r="D76" s="1253"/>
      <c r="E76" s="35"/>
      <c r="F76" s="175" t="s">
        <v>116</v>
      </c>
      <c r="G76" s="251" t="e">
        <f>G75/VLOOKUP(C75,#REF!,7,0)</f>
        <v>#REF!</v>
      </c>
      <c r="H76" s="495" t="e">
        <f>H75/VLOOKUP(C75,#REF!,7,0)</f>
        <v>#REF!</v>
      </c>
      <c r="I76" s="1221"/>
      <c r="J76" s="251" t="e">
        <f>J75/VLOOKUP($C75,#REF!,7,0)</f>
        <v>#REF!</v>
      </c>
      <c r="K76" s="1238"/>
      <c r="L76" s="251" t="e">
        <f>L75/VLOOKUP($C75,#REF!,7,0)</f>
        <v>#REF!</v>
      </c>
      <c r="M76" s="1219"/>
      <c r="N76" s="35"/>
      <c r="O76" s="175" t="s">
        <v>116</v>
      </c>
      <c r="P76" s="497" t="e">
        <f t="shared" si="5"/>
        <v>#REF!</v>
      </c>
      <c r="Q76" s="269" t="e">
        <f>Q75/VLOOKUP(C75,#REF!,7,0)</f>
        <v>#REF!</v>
      </c>
      <c r="R76" s="1308"/>
      <c r="S76" s="35"/>
      <c r="T76" s="175" t="s">
        <v>116</v>
      </c>
      <c r="U76" s="251" t="e">
        <f>U75/VLOOKUP(C75,#REF!,7,0)</f>
        <v>#REF!</v>
      </c>
      <c r="V76" s="1219"/>
      <c r="W76" s="608"/>
      <c r="X76" s="608"/>
      <c r="Y76" s="1185"/>
      <c r="AA76" s="517" t="s">
        <v>612</v>
      </c>
      <c r="AD76" s="33" t="str">
        <f>C75&amp;F76</f>
        <v>DenmarkUSD bn</v>
      </c>
    </row>
    <row r="77" spans="1:30" ht="80.150000000000006" customHeight="1">
      <c r="A77" s="1268"/>
      <c r="B77" s="1268"/>
      <c r="C77" s="1257"/>
      <c r="D77" s="1254"/>
      <c r="E77" s="35"/>
      <c r="F77" s="175" t="s">
        <v>117</v>
      </c>
      <c r="G77" s="258" t="e">
        <f>(G75/VLOOKUP(C75,#REF!,4,0))*100</f>
        <v>#REF!</v>
      </c>
      <c r="H77" s="495" t="e">
        <f>(H75/VLOOKUP(C75,#REF!,4,0))*100</f>
        <v>#REF!</v>
      </c>
      <c r="I77" s="1222"/>
      <c r="J77" s="252" t="e">
        <f>J75/VLOOKUP($C75,#REF!,4,0)*100</f>
        <v>#REF!</v>
      </c>
      <c r="K77" s="1192"/>
      <c r="L77" s="252" t="e">
        <f>L75/VLOOKUP($C75,#REF!,4,0)*100</f>
        <v>#REF!</v>
      </c>
      <c r="M77" s="1186"/>
      <c r="N77" s="35"/>
      <c r="O77" s="175" t="s">
        <v>117</v>
      </c>
      <c r="P77" s="499" t="e">
        <f t="shared" si="5"/>
        <v>#REF!</v>
      </c>
      <c r="Q77" s="269" t="e">
        <f>(Q75/VLOOKUP(C75,#REF!,4,0))*100</f>
        <v>#REF!</v>
      </c>
      <c r="R77" s="1204"/>
      <c r="S77" s="35"/>
      <c r="T77" s="175" t="s">
        <v>117</v>
      </c>
      <c r="U77" s="258" t="e">
        <f>(U75/VLOOKUP(C75,#REF!,4,0))*100</f>
        <v>#REF!</v>
      </c>
      <c r="V77" s="1186"/>
      <c r="W77" s="608"/>
      <c r="X77" s="608"/>
      <c r="Y77" s="1186"/>
      <c r="AA77" s="517" t="s">
        <v>613</v>
      </c>
      <c r="AD77" s="33" t="str">
        <f>C75&amp;F77</f>
        <v>Denmark% GDP</v>
      </c>
    </row>
    <row r="78" spans="1:30" s="15" customFormat="1" ht="50.15" customHeight="1">
      <c r="A78" s="1268">
        <v>0</v>
      </c>
      <c r="B78" s="1268" t="s">
        <v>858</v>
      </c>
      <c r="C78" s="1256" t="s">
        <v>20</v>
      </c>
      <c r="D78" s="1253" t="s">
        <v>570</v>
      </c>
      <c r="F78" s="38" t="s">
        <v>115</v>
      </c>
      <c r="G78" s="645">
        <f>H78+J78</f>
        <v>6.9590000000000005</v>
      </c>
      <c r="H78" s="631">
        <v>1.4610000000000001</v>
      </c>
      <c r="I78" s="1184" t="s">
        <v>714</v>
      </c>
      <c r="J78" s="516">
        <v>5.4980000000000002</v>
      </c>
      <c r="K78" s="1184" t="s">
        <v>741</v>
      </c>
      <c r="L78" s="551">
        <v>5.25</v>
      </c>
      <c r="M78" s="1220" t="s">
        <v>715</v>
      </c>
      <c r="O78" s="38" t="s">
        <v>115</v>
      </c>
      <c r="P78" s="496">
        <f t="shared" si="5"/>
        <v>16.420000000000002</v>
      </c>
      <c r="Q78" s="268">
        <f>0.85+0.5+1.07</f>
        <v>2.42</v>
      </c>
      <c r="R78" s="1190" t="s">
        <v>716</v>
      </c>
      <c r="T78" s="38" t="s">
        <v>115</v>
      </c>
      <c r="U78" s="105">
        <v>13</v>
      </c>
      <c r="V78" s="1184" t="s">
        <v>609</v>
      </c>
      <c r="W78" s="631">
        <v>1</v>
      </c>
      <c r="X78" s="1184" t="s">
        <v>230</v>
      </c>
      <c r="Y78" s="1184" t="s">
        <v>233</v>
      </c>
      <c r="AA78" s="156" t="s">
        <v>46</v>
      </c>
      <c r="AD78" s="33" t="str">
        <f>C78&amp;F78</f>
        <v>FinlandLC bn</v>
      </c>
    </row>
    <row r="79" spans="1:30" s="55" customFormat="1" ht="72" customHeight="1">
      <c r="A79" s="1268"/>
      <c r="B79" s="1268"/>
      <c r="C79" s="1256"/>
      <c r="D79" s="1253"/>
      <c r="F79" s="175" t="s">
        <v>116</v>
      </c>
      <c r="G79" s="258" t="e">
        <f>G78/VLOOKUP(C78,#REF!,7,0)</f>
        <v>#REF!</v>
      </c>
      <c r="H79" s="258" t="e">
        <f>H78/VLOOKUP($C78,#REF!,7,0)</f>
        <v>#REF!</v>
      </c>
      <c r="I79" s="1308"/>
      <c r="J79" s="258" t="e">
        <f>J78/VLOOKUP($C78,#REF!,7,0)</f>
        <v>#REF!</v>
      </c>
      <c r="K79" s="1219"/>
      <c r="L79" s="410" t="e">
        <f>L78/VLOOKUP($C78,#REF!,7,0)</f>
        <v>#REF!</v>
      </c>
      <c r="M79" s="1287"/>
      <c r="O79" s="175" t="s">
        <v>116</v>
      </c>
      <c r="P79" s="497" t="e">
        <f t="shared" si="5"/>
        <v>#REF!</v>
      </c>
      <c r="Q79" s="269" t="e">
        <f>Q78/VLOOKUP(C78,#REF!,7,0)</f>
        <v>#REF!</v>
      </c>
      <c r="R79" s="1238"/>
      <c r="T79" s="175" t="s">
        <v>116</v>
      </c>
      <c r="U79" s="251" t="e">
        <f>U78/VLOOKUP(C78,#REF!,7,0)</f>
        <v>#REF!</v>
      </c>
      <c r="V79" s="1219"/>
      <c r="W79" s="632" t="e">
        <f>W78/VLOOKUP($C78,#REF!,7,0)</f>
        <v>#REF!</v>
      </c>
      <c r="X79" s="1219"/>
      <c r="Y79" s="1186"/>
      <c r="AA79" s="157"/>
      <c r="AD79" s="33" t="str">
        <f>C78&amp;F79</f>
        <v>FinlandUSD bn</v>
      </c>
    </row>
    <row r="80" spans="1:30" ht="117.65" customHeight="1">
      <c r="A80" s="1268"/>
      <c r="B80" s="1268"/>
      <c r="C80" s="1257"/>
      <c r="D80" s="1254"/>
      <c r="E80" s="12"/>
      <c r="F80" s="53" t="s">
        <v>117</v>
      </c>
      <c r="G80" s="252" t="e">
        <f>(G78/VLOOKUP(C78,#REF!,4,0))*100</f>
        <v>#REF!</v>
      </c>
      <c r="H80" s="252" t="e">
        <f>(H78/VLOOKUP($C78,#REF!,4,0))*100</f>
        <v>#REF!</v>
      </c>
      <c r="I80" s="1204"/>
      <c r="J80" s="252" t="e">
        <f>J78/VLOOKUP($C78,#REF!,4,0)*100</f>
        <v>#REF!</v>
      </c>
      <c r="K80" s="1186"/>
      <c r="L80" s="411" t="e">
        <f>(L78/VLOOKUP($C78,#REF!,4,0))*100</f>
        <v>#REF!</v>
      </c>
      <c r="M80" s="1222"/>
      <c r="N80" s="12"/>
      <c r="O80" s="53" t="s">
        <v>117</v>
      </c>
      <c r="P80" s="499" t="e">
        <f t="shared" si="5"/>
        <v>#REF!</v>
      </c>
      <c r="Q80" s="267" t="e">
        <f>(Q78/VLOOKUP(C78,#REF!,4,0))*100</f>
        <v>#REF!</v>
      </c>
      <c r="R80" s="1192"/>
      <c r="S80" s="12"/>
      <c r="T80" s="53" t="s">
        <v>117</v>
      </c>
      <c r="U80" s="252" t="e">
        <f>(U78/VLOOKUP(C78,#REF!,4,0))*100</f>
        <v>#REF!</v>
      </c>
      <c r="V80" s="1186"/>
      <c r="W80" s="633" t="e">
        <f>(W78/VLOOKUP($C78,#REF!,4,0))*100</f>
        <v>#REF!</v>
      </c>
      <c r="X80" s="1186"/>
      <c r="Y80" s="614" t="s">
        <v>234</v>
      </c>
      <c r="Z80" s="52"/>
      <c r="AA80" s="158"/>
      <c r="AD80" s="33" t="str">
        <f>C78&amp;F80</f>
        <v>Finland% GDP</v>
      </c>
    </row>
    <row r="81" spans="1:30" ht="105" customHeight="1">
      <c r="A81" s="1268">
        <v>0</v>
      </c>
      <c r="B81" s="1268" t="s">
        <v>858</v>
      </c>
      <c r="C81" s="1256" t="s">
        <v>184</v>
      </c>
      <c r="D81" s="1252" t="s">
        <v>570</v>
      </c>
      <c r="E81" s="14"/>
      <c r="F81" s="38" t="s">
        <v>115</v>
      </c>
      <c r="G81" s="255">
        <f>H81+J81</f>
        <v>31.099999999999998</v>
      </c>
      <c r="H81" s="258">
        <v>0.7</v>
      </c>
      <c r="I81" s="1193" t="s">
        <v>599</v>
      </c>
      <c r="J81" s="177">
        <v>30.4</v>
      </c>
      <c r="K81" s="1184" t="s">
        <v>853</v>
      </c>
      <c r="L81" s="177">
        <v>32</v>
      </c>
      <c r="M81" s="1193" t="s">
        <v>623</v>
      </c>
      <c r="N81" s="14"/>
      <c r="O81" s="175" t="s">
        <v>115</v>
      </c>
      <c r="P81" s="631">
        <f>Q81+U81+W81</f>
        <v>30.6</v>
      </c>
      <c r="Q81" s="276"/>
      <c r="R81" s="1184"/>
      <c r="S81" s="14"/>
      <c r="T81" s="175" t="s">
        <v>115</v>
      </c>
      <c r="U81" s="645">
        <v>30.6</v>
      </c>
      <c r="V81" s="1184" t="s">
        <v>600</v>
      </c>
      <c r="W81" s="607"/>
      <c r="X81" s="607"/>
      <c r="Y81" s="1184" t="s">
        <v>110</v>
      </c>
      <c r="Z81" s="14"/>
      <c r="AA81" s="1225" t="s">
        <v>47</v>
      </c>
      <c r="AD81" s="33" t="str">
        <f>C81&amp;F81</f>
        <v>The NetherlandsLC bn</v>
      </c>
    </row>
    <row r="82" spans="1:30" ht="90.65" customHeight="1">
      <c r="A82" s="1268"/>
      <c r="B82" s="1268"/>
      <c r="C82" s="1256"/>
      <c r="D82" s="1253"/>
      <c r="E82" s="37"/>
      <c r="F82" s="175" t="s">
        <v>116</v>
      </c>
      <c r="G82" s="251" t="e">
        <f>G81/VLOOKUP(C81,#REF!,7,0)</f>
        <v>#REF!</v>
      </c>
      <c r="H82" s="258" t="e">
        <f>H81/VLOOKUP($C81,#REF!,7,0)</f>
        <v>#REF!</v>
      </c>
      <c r="I82" s="1203"/>
      <c r="J82" s="251" t="e">
        <f>J81/VLOOKUP($C81,#REF!,7,0)</f>
        <v>#REF!</v>
      </c>
      <c r="K82" s="1219"/>
      <c r="L82" s="251" t="e">
        <f>L81/VLOOKUP($C81,#REF!,7,0)</f>
        <v>#REF!</v>
      </c>
      <c r="M82" s="1196"/>
      <c r="N82" s="37"/>
      <c r="O82" s="175" t="s">
        <v>116</v>
      </c>
      <c r="P82" s="632" t="e">
        <f>P81/VLOOKUP($C81,#REF!,7,0)</f>
        <v>#REF!</v>
      </c>
      <c r="Q82" s="277"/>
      <c r="R82" s="1219"/>
      <c r="S82" s="37"/>
      <c r="T82" s="175" t="s">
        <v>116</v>
      </c>
      <c r="U82" s="646" t="e">
        <f>U81/VLOOKUP($C81,#REF!,7,0)</f>
        <v>#REF!</v>
      </c>
      <c r="V82" s="1219"/>
      <c r="W82" s="626"/>
      <c r="X82" s="626"/>
      <c r="Y82" s="1185"/>
      <c r="Z82" s="37"/>
      <c r="AA82" s="1226"/>
      <c r="AD82" s="33" t="str">
        <f>C81&amp;F82</f>
        <v>The NetherlandsUSD bn</v>
      </c>
    </row>
    <row r="83" spans="1:30" ht="105" customHeight="1">
      <c r="A83" s="1268"/>
      <c r="B83" s="1268"/>
      <c r="C83" s="1257"/>
      <c r="D83" s="1254"/>
      <c r="E83" s="12"/>
      <c r="F83" s="53" t="s">
        <v>117</v>
      </c>
      <c r="G83" s="252" t="e">
        <f>(G81/VLOOKUP(C81,#REF!,4,0))*100</f>
        <v>#REF!</v>
      </c>
      <c r="H83" s="252" t="e">
        <f>(H81/VLOOKUP($C81,#REF!,4,0))*100</f>
        <v>#REF!</v>
      </c>
      <c r="I83" s="1204"/>
      <c r="J83" s="252" t="e">
        <f>J81/VLOOKUP($C81,#REF!,4,0)*100</f>
        <v>#REF!</v>
      </c>
      <c r="K83" s="1186"/>
      <c r="L83" s="252" t="e">
        <f>L81/VLOOKUP($C81,#REF!,4,0)*100</f>
        <v>#REF!</v>
      </c>
      <c r="M83" s="1197"/>
      <c r="N83" s="12"/>
      <c r="O83" s="53" t="s">
        <v>117</v>
      </c>
      <c r="P83" s="17" t="e">
        <f>P81/VLOOKUP($C81,#REF!,4,0)*100</f>
        <v>#REF!</v>
      </c>
      <c r="Q83" s="267"/>
      <c r="R83" s="1186"/>
      <c r="S83" s="12"/>
      <c r="T83" s="53" t="s">
        <v>117</v>
      </c>
      <c r="U83" s="647" t="e">
        <f>U81/VLOOKUP($C81,#REF!,4,0)*100</f>
        <v>#REF!</v>
      </c>
      <c r="V83" s="1186"/>
      <c r="W83" s="609"/>
      <c r="X83" s="609"/>
      <c r="Y83" s="1186"/>
      <c r="Z83" s="52"/>
      <c r="AA83" s="1227"/>
      <c r="AD83" s="33" t="str">
        <f>C81&amp;F83</f>
        <v>The Netherlands% GDP</v>
      </c>
    </row>
    <row r="84" spans="1:30" ht="110.15" customHeight="1">
      <c r="A84" s="1268">
        <v>0</v>
      </c>
      <c r="B84" s="1268" t="s">
        <v>858</v>
      </c>
      <c r="C84" s="1256" t="s">
        <v>553</v>
      </c>
      <c r="D84" s="1253" t="s">
        <v>571</v>
      </c>
      <c r="E84" s="14"/>
      <c r="F84" s="38" t="s">
        <v>115</v>
      </c>
      <c r="G84" s="251">
        <v>62.1</v>
      </c>
      <c r="H84" s="640">
        <v>0.5</v>
      </c>
      <c r="I84" s="1184" t="s">
        <v>601</v>
      </c>
      <c r="J84" s="121">
        <f>G84-H84</f>
        <v>61.6</v>
      </c>
      <c r="K84" s="1258" t="s">
        <v>850</v>
      </c>
      <c r="L84" s="634"/>
      <c r="M84" s="634"/>
      <c r="N84" s="35"/>
      <c r="O84" s="175" t="s">
        <v>115</v>
      </c>
      <c r="P84" s="631">
        <f t="shared" ref="P84:P107" si="6">Q84+U84+W84</f>
        <v>12.35</v>
      </c>
      <c r="Q84" s="515">
        <v>6.1</v>
      </c>
      <c r="R84" s="1184" t="s">
        <v>735</v>
      </c>
      <c r="S84" s="35"/>
      <c r="T84" s="175" t="s">
        <v>115</v>
      </c>
      <c r="U84" s="646">
        <v>6.25</v>
      </c>
      <c r="V84" s="1184" t="s">
        <v>565</v>
      </c>
      <c r="W84" s="608"/>
      <c r="X84" s="1241"/>
      <c r="Y84" s="608"/>
      <c r="AA84" s="621"/>
      <c r="AD84" s="33" t="str">
        <f>C84&amp;F84</f>
        <v>New ZealandLC bn</v>
      </c>
    </row>
    <row r="85" spans="1:30" ht="91.5" customHeight="1">
      <c r="A85" s="1268"/>
      <c r="B85" s="1268"/>
      <c r="C85" s="1256"/>
      <c r="D85" s="1253"/>
      <c r="E85" s="37"/>
      <c r="F85" s="175" t="s">
        <v>116</v>
      </c>
      <c r="G85" s="251" t="e">
        <f>G84/VLOOKUP($C84,#REF!,7,0)</f>
        <v>#REF!</v>
      </c>
      <c r="H85" s="258" t="e">
        <f>H84/VLOOKUP($C84,#REF!,7,0)</f>
        <v>#REF!</v>
      </c>
      <c r="I85" s="1308"/>
      <c r="J85" s="251" t="e">
        <f>J84/VLOOKUP($C84,#REF!,7,0)</f>
        <v>#REF!</v>
      </c>
      <c r="K85" s="1238"/>
      <c r="L85" s="634"/>
      <c r="M85" s="634"/>
      <c r="N85" s="35"/>
      <c r="O85" s="175" t="s">
        <v>116</v>
      </c>
      <c r="P85" s="632" t="e">
        <f t="shared" si="6"/>
        <v>#REF!</v>
      </c>
      <c r="Q85" s="258" t="e">
        <f>Q84/VLOOKUP($C84,#REF!,7,0)</f>
        <v>#REF!</v>
      </c>
      <c r="R85" s="1219"/>
      <c r="S85" s="35"/>
      <c r="T85" s="175" t="s">
        <v>116</v>
      </c>
      <c r="U85" s="258" t="e">
        <f>U84/VLOOKUP($C84,#REF!,7,0)</f>
        <v>#REF!</v>
      </c>
      <c r="V85" s="1219"/>
      <c r="W85" s="608"/>
      <c r="X85" s="1242"/>
      <c r="Y85" s="608"/>
      <c r="AA85" s="621"/>
      <c r="AD85" s="33" t="str">
        <f>C84&amp;F85</f>
        <v>New ZealandUSD bn</v>
      </c>
    </row>
    <row r="86" spans="1:30" ht="88.5" customHeight="1">
      <c r="A86" s="1268"/>
      <c r="B86" s="1268"/>
      <c r="C86" s="1257"/>
      <c r="D86" s="1254"/>
      <c r="E86" s="12"/>
      <c r="F86" s="53" t="s">
        <v>117</v>
      </c>
      <c r="G86" s="252" t="e">
        <f>(G84/VLOOKUP($C84,#REF!,4,0))*100</f>
        <v>#REF!</v>
      </c>
      <c r="H86" s="252" t="e">
        <f>(H84/VLOOKUP($C84,#REF!,4,0))*100</f>
        <v>#REF!</v>
      </c>
      <c r="I86" s="1204"/>
      <c r="J86" s="252" t="e">
        <f>(J84/VLOOKUP($C84,#REF!,4,0))*100</f>
        <v>#REF!</v>
      </c>
      <c r="K86" s="1192"/>
      <c r="L86" s="634"/>
      <c r="M86" s="634"/>
      <c r="N86" s="35"/>
      <c r="O86" s="53" t="s">
        <v>117</v>
      </c>
      <c r="P86" s="17" t="e">
        <f t="shared" si="6"/>
        <v>#REF!</v>
      </c>
      <c r="Q86" s="252" t="e">
        <f>(Q84/VLOOKUP($C84,#REF!,4,0))*100</f>
        <v>#REF!</v>
      </c>
      <c r="R86" s="1186"/>
      <c r="S86" s="35"/>
      <c r="T86" s="53" t="s">
        <v>117</v>
      </c>
      <c r="U86" s="252" t="e">
        <f>(U84/VLOOKUP($C84,#REF!,4,0))*100</f>
        <v>#REF!</v>
      </c>
      <c r="V86" s="1186"/>
      <c r="W86" s="608"/>
      <c r="X86" s="1243"/>
      <c r="Y86" s="608"/>
      <c r="AA86" s="621"/>
      <c r="AD86" s="33" t="str">
        <f>C84&amp;F86</f>
        <v>New Zealand% GDP</v>
      </c>
    </row>
    <row r="87" spans="1:30" s="37" customFormat="1" ht="70" customHeight="1">
      <c r="A87" s="1268">
        <v>0</v>
      </c>
      <c r="B87" s="1268" t="s">
        <v>858</v>
      </c>
      <c r="C87" s="1256" t="s">
        <v>36</v>
      </c>
      <c r="D87" s="1266" t="s">
        <v>571</v>
      </c>
      <c r="E87" s="14"/>
      <c r="F87" s="38" t="s">
        <v>115</v>
      </c>
      <c r="G87" s="255">
        <v>162</v>
      </c>
      <c r="H87" s="617" t="s">
        <v>84</v>
      </c>
      <c r="I87" s="1184" t="s">
        <v>786</v>
      </c>
      <c r="J87" s="617" t="s">
        <v>84</v>
      </c>
      <c r="K87" s="1184" t="s">
        <v>787</v>
      </c>
      <c r="L87" s="617" t="s">
        <v>84</v>
      </c>
      <c r="M87" s="1184" t="s">
        <v>626</v>
      </c>
      <c r="N87" s="14"/>
      <c r="O87" s="175" t="s">
        <v>115</v>
      </c>
      <c r="P87" s="177">
        <f t="shared" si="6"/>
        <v>179.6</v>
      </c>
      <c r="Q87" s="274">
        <v>50</v>
      </c>
      <c r="R87" s="1184" t="s">
        <v>336</v>
      </c>
      <c r="S87" s="14"/>
      <c r="T87" s="175" t="s">
        <v>115</v>
      </c>
      <c r="U87" s="255">
        <v>129.6</v>
      </c>
      <c r="V87" s="1184" t="s">
        <v>581</v>
      </c>
      <c r="W87" s="607"/>
      <c r="X87" s="607"/>
      <c r="Y87" s="1184" t="s">
        <v>127</v>
      </c>
      <c r="Z87" s="14"/>
      <c r="AA87" s="1225" t="s">
        <v>48</v>
      </c>
      <c r="AD87" s="33" t="str">
        <f>C87&amp;F87</f>
        <v>NorwayLC bn</v>
      </c>
    </row>
    <row r="88" spans="1:30" s="37" customFormat="1" ht="70" customHeight="1">
      <c r="A88" s="1268"/>
      <c r="B88" s="1268"/>
      <c r="C88" s="1256"/>
      <c r="D88" s="1266"/>
      <c r="F88" s="175" t="s">
        <v>116</v>
      </c>
      <c r="G88" s="251" t="e">
        <f>G87/VLOOKUP(C87,#REF!,7,0)</f>
        <v>#REF!</v>
      </c>
      <c r="H88" s="615"/>
      <c r="I88" s="1185"/>
      <c r="J88" s="618"/>
      <c r="K88" s="1219"/>
      <c r="L88" s="608"/>
      <c r="M88" s="1185"/>
      <c r="O88" s="175" t="s">
        <v>116</v>
      </c>
      <c r="P88" s="118" t="e">
        <f t="shared" si="6"/>
        <v>#REF!</v>
      </c>
      <c r="Q88" s="279" t="e">
        <f>Q87/VLOOKUP(C87,#REF!,7,0)</f>
        <v>#REF!</v>
      </c>
      <c r="R88" s="1219"/>
      <c r="T88" s="175" t="s">
        <v>116</v>
      </c>
      <c r="U88" s="257" t="e">
        <f>U87/VLOOKUP(C87,#REF!,7,0)</f>
        <v>#REF!</v>
      </c>
      <c r="V88" s="1219"/>
      <c r="W88" s="626"/>
      <c r="X88" s="626"/>
      <c r="Y88" s="1185"/>
      <c r="AA88" s="1226"/>
      <c r="AD88" s="33" t="str">
        <f>C87&amp;F88</f>
        <v>NorwayUSD bn</v>
      </c>
    </row>
    <row r="89" spans="1:30" ht="70" customHeight="1">
      <c r="A89" s="1268"/>
      <c r="B89" s="1268"/>
      <c r="C89" s="1257"/>
      <c r="D89" s="1261"/>
      <c r="E89" s="12"/>
      <c r="F89" s="53" t="s">
        <v>117</v>
      </c>
      <c r="G89" s="252" t="e">
        <f>((G87/#REF!))*100</f>
        <v>#REF!</v>
      </c>
      <c r="H89" s="97"/>
      <c r="I89" s="1186"/>
      <c r="J89" s="633"/>
      <c r="K89" s="1186"/>
      <c r="L89" s="609"/>
      <c r="M89" s="1186"/>
      <c r="N89" s="12"/>
      <c r="O89" s="53" t="s">
        <v>117</v>
      </c>
      <c r="P89" s="104" t="e">
        <f t="shared" si="6"/>
        <v>#REF!</v>
      </c>
      <c r="Q89" s="273" t="e">
        <f>((Q87/#REF!))*100</f>
        <v>#REF!</v>
      </c>
      <c r="R89" s="1186"/>
      <c r="S89" s="12"/>
      <c r="T89" s="53" t="s">
        <v>117</v>
      </c>
      <c r="U89" s="252" t="e">
        <f>((U87/#REF!))*100</f>
        <v>#REF!</v>
      </c>
      <c r="V89" s="1186"/>
      <c r="W89" s="609"/>
      <c r="X89" s="609"/>
      <c r="Y89" s="1186"/>
      <c r="Z89" s="52"/>
      <c r="AA89" s="1227"/>
      <c r="AD89" s="33" t="str">
        <f>C87&amp;F89</f>
        <v>Norway% GDP</v>
      </c>
    </row>
    <row r="90" spans="1:30" s="37" customFormat="1" ht="75" customHeight="1">
      <c r="A90" s="1268">
        <v>0</v>
      </c>
      <c r="B90" s="1268" t="s">
        <v>858</v>
      </c>
      <c r="C90" s="1256" t="s">
        <v>31</v>
      </c>
      <c r="D90" s="1266" t="s">
        <v>571</v>
      </c>
      <c r="E90" s="511"/>
      <c r="F90" s="505" t="s">
        <v>115</v>
      </c>
      <c r="G90" s="255">
        <f>H90+J90</f>
        <v>72.8</v>
      </c>
      <c r="H90" s="636">
        <v>0.8</v>
      </c>
      <c r="I90" s="1193" t="s">
        <v>627</v>
      </c>
      <c r="J90" s="255">
        <v>72</v>
      </c>
      <c r="K90" s="1184" t="s">
        <v>863</v>
      </c>
      <c r="L90" s="607"/>
      <c r="M90" s="607"/>
      <c r="N90" s="14"/>
      <c r="O90" s="175" t="s">
        <v>115</v>
      </c>
      <c r="P90" s="177">
        <f t="shared" si="6"/>
        <v>20</v>
      </c>
      <c r="Q90" s="274">
        <v>20</v>
      </c>
      <c r="R90" s="1184" t="s">
        <v>724</v>
      </c>
      <c r="S90" s="14"/>
      <c r="T90" s="175" t="s">
        <v>115</v>
      </c>
      <c r="U90" s="645"/>
      <c r="V90" s="1184"/>
      <c r="W90" s="607"/>
      <c r="X90" s="607"/>
      <c r="Y90" s="607"/>
      <c r="Z90" s="14"/>
      <c r="AA90" s="607"/>
      <c r="AD90" s="33" t="str">
        <f>C90&amp;F90</f>
        <v>SingaporeLC bn</v>
      </c>
    </row>
    <row r="91" spans="1:30" s="610" customFormat="1" ht="75" customHeight="1">
      <c r="A91" s="1268"/>
      <c r="B91" s="1268"/>
      <c r="C91" s="1256"/>
      <c r="D91" s="1266"/>
      <c r="E91" s="512"/>
      <c r="F91" s="506" t="s">
        <v>116</v>
      </c>
      <c r="G91" s="251" t="e">
        <f>G90/VLOOKUP(C90,#REF!,7,0)</f>
        <v>#REF!</v>
      </c>
      <c r="H91" s="258" t="e">
        <f>H90/VLOOKUP($C90,#REF!,7,0)</f>
        <v>#REF!</v>
      </c>
      <c r="I91" s="1196"/>
      <c r="J91" s="251" t="e">
        <f>J90/VLOOKUP($C90,#REF!,7,0)</f>
        <v>#REF!</v>
      </c>
      <c r="K91" s="1219"/>
      <c r="L91" s="626"/>
      <c r="M91" s="626"/>
      <c r="N91" s="37"/>
      <c r="O91" s="175" t="s">
        <v>116</v>
      </c>
      <c r="P91" s="118" t="e">
        <f t="shared" si="6"/>
        <v>#REF!</v>
      </c>
      <c r="Q91" s="266" t="e">
        <f>Q90/VLOOKUP(C90,#REF!,7,0)</f>
        <v>#REF!</v>
      </c>
      <c r="R91" s="1219"/>
      <c r="S91" s="37"/>
      <c r="T91" s="175" t="s">
        <v>116</v>
      </c>
      <c r="U91" s="646"/>
      <c r="V91" s="1185"/>
      <c r="W91" s="608"/>
      <c r="X91" s="608"/>
      <c r="Y91" s="608"/>
      <c r="Z91" s="37"/>
      <c r="AA91" s="608"/>
      <c r="AD91" s="33" t="str">
        <f>C90&amp;F91</f>
        <v>SingaporeUSD bn</v>
      </c>
    </row>
    <row r="92" spans="1:30" ht="75" customHeight="1">
      <c r="A92" s="1268"/>
      <c r="B92" s="1268"/>
      <c r="C92" s="1257"/>
      <c r="D92" s="1261"/>
      <c r="E92" s="509"/>
      <c r="F92" s="506" t="s">
        <v>117</v>
      </c>
      <c r="G92" s="258" t="e">
        <f>(G90/VLOOKUP(C90,#REF!,4,0))*100</f>
        <v>#REF!</v>
      </c>
      <c r="H92" s="252" t="e">
        <f>(H90/VLOOKUP($C90,#REF!,4,0))*100</f>
        <v>#REF!</v>
      </c>
      <c r="I92" s="1197"/>
      <c r="J92" s="252" t="e">
        <f>J90/VLOOKUP($C90,#REF!,4,0)*100</f>
        <v>#REF!</v>
      </c>
      <c r="K92" s="1186"/>
      <c r="L92" s="608"/>
      <c r="M92" s="608"/>
      <c r="N92" s="35"/>
      <c r="O92" s="175" t="s">
        <v>117</v>
      </c>
      <c r="P92" s="17" t="e">
        <f t="shared" si="6"/>
        <v>#REF!</v>
      </c>
      <c r="Q92" s="269" t="e">
        <f>(Q90/VLOOKUP(C90,#REF!,4,0))*100</f>
        <v>#REF!</v>
      </c>
      <c r="R92" s="1186"/>
      <c r="S92" s="35"/>
      <c r="T92" s="175" t="s">
        <v>117</v>
      </c>
      <c r="U92" s="258"/>
      <c r="V92" s="1186"/>
      <c r="W92" s="608"/>
      <c r="X92" s="608"/>
      <c r="Y92" s="608"/>
      <c r="AA92" s="621"/>
      <c r="AD92" s="33" t="str">
        <f>C90&amp;F92</f>
        <v>Singapore% GDP</v>
      </c>
    </row>
    <row r="93" spans="1:30" s="15" customFormat="1" ht="70" customHeight="1">
      <c r="A93" s="1268">
        <v>0</v>
      </c>
      <c r="B93" s="1268" t="s">
        <v>858</v>
      </c>
      <c r="C93" s="1256" t="s">
        <v>21</v>
      </c>
      <c r="D93" s="1252" t="s">
        <v>571</v>
      </c>
      <c r="F93" s="38" t="s">
        <v>115</v>
      </c>
      <c r="G93" s="255">
        <v>247</v>
      </c>
      <c r="H93" s="617">
        <v>8.1999999999999993</v>
      </c>
      <c r="I93" s="1220" t="s">
        <v>657</v>
      </c>
      <c r="J93" s="102">
        <v>238.3</v>
      </c>
      <c r="K93" s="1184" t="s">
        <v>764</v>
      </c>
      <c r="L93" s="617">
        <f>27+7+13+315-27</f>
        <v>335</v>
      </c>
      <c r="M93" s="1270" t="s">
        <v>658</v>
      </c>
      <c r="O93" s="38" t="s">
        <v>115</v>
      </c>
      <c r="P93" s="177">
        <f t="shared" si="6"/>
        <v>230</v>
      </c>
      <c r="Q93" s="268"/>
      <c r="R93" s="1184"/>
      <c r="T93" s="38" t="s">
        <v>115</v>
      </c>
      <c r="U93" s="253">
        <v>230</v>
      </c>
      <c r="V93" s="1184" t="s">
        <v>659</v>
      </c>
      <c r="W93" s="607"/>
      <c r="X93" s="607"/>
      <c r="Y93" s="22"/>
      <c r="AA93" s="607"/>
      <c r="AD93" s="33" t="str">
        <f>C93&amp;F93</f>
        <v>SwedenLC bn</v>
      </c>
    </row>
    <row r="94" spans="1:30" s="37" customFormat="1" ht="70" customHeight="1">
      <c r="A94" s="1268"/>
      <c r="B94" s="1268"/>
      <c r="C94" s="1256"/>
      <c r="D94" s="1253"/>
      <c r="E94" s="55"/>
      <c r="F94" s="175" t="s">
        <v>116</v>
      </c>
      <c r="G94" s="251" t="e">
        <f>G93/VLOOKUP($C93,#REF!,7,0)</f>
        <v>#REF!</v>
      </c>
      <c r="H94" s="258" t="e">
        <f>H93/VLOOKUP($C93,#REF!,7,0)</f>
        <v>#REF!</v>
      </c>
      <c r="I94" s="1221"/>
      <c r="J94" s="251" t="e">
        <f>J93/VLOOKUP($C93,#REF!,7,0)</f>
        <v>#REF!</v>
      </c>
      <c r="K94" s="1219"/>
      <c r="L94" s="118" t="e">
        <f>L93/VLOOKUP(C93,#REF!,7,0)</f>
        <v>#REF!</v>
      </c>
      <c r="M94" s="1219"/>
      <c r="N94" s="55"/>
      <c r="O94" s="175" t="s">
        <v>116</v>
      </c>
      <c r="P94" s="118" t="e">
        <f t="shared" si="6"/>
        <v>#REF!</v>
      </c>
      <c r="Q94" s="251"/>
      <c r="R94" s="1219"/>
      <c r="S94" s="55"/>
      <c r="T94" s="175" t="s">
        <v>116</v>
      </c>
      <c r="U94" s="251" t="e">
        <f>U93/VLOOKUP($C93,#REF!,7,0)</f>
        <v>#REF!</v>
      </c>
      <c r="V94" s="1219"/>
      <c r="W94" s="608"/>
      <c r="X94" s="608"/>
      <c r="Y94" s="58"/>
      <c r="Z94" s="55"/>
      <c r="AA94" s="608"/>
      <c r="AD94" s="33" t="str">
        <f>C93&amp;F94</f>
        <v>SwedenUSD bn</v>
      </c>
    </row>
    <row r="95" spans="1:30" ht="70" customHeight="1">
      <c r="A95" s="1268"/>
      <c r="B95" s="1268"/>
      <c r="C95" s="1257"/>
      <c r="D95" s="1254"/>
      <c r="E95" s="12"/>
      <c r="F95" s="53" t="s">
        <v>117</v>
      </c>
      <c r="G95" s="252" t="e">
        <f>(G93/VLOOKUP($C93,#REF!,4,0))*100</f>
        <v>#REF!</v>
      </c>
      <c r="H95" s="252" t="e">
        <f>(H93/VLOOKUP($C93,#REF!,4,0))*100</f>
        <v>#REF!</v>
      </c>
      <c r="I95" s="1222"/>
      <c r="J95" s="252" t="e">
        <f>(J93/VLOOKUP($C93,#REF!,4,0))*100</f>
        <v>#REF!</v>
      </c>
      <c r="K95" s="1186"/>
      <c r="L95" s="633" t="e">
        <f>(L93/VLOOKUP(C93,#REF!,4,0))*100</f>
        <v>#REF!</v>
      </c>
      <c r="M95" s="1186"/>
      <c r="N95" s="12"/>
      <c r="O95" s="53" t="s">
        <v>117</v>
      </c>
      <c r="P95" s="17" t="e">
        <f t="shared" si="6"/>
        <v>#REF!</v>
      </c>
      <c r="Q95" s="252"/>
      <c r="R95" s="1186"/>
      <c r="S95" s="12"/>
      <c r="T95" s="53" t="s">
        <v>117</v>
      </c>
      <c r="U95" s="252" t="e">
        <f>(U93/VLOOKUP($C93,#REF!,4,0))*100</f>
        <v>#REF!</v>
      </c>
      <c r="V95" s="1186"/>
      <c r="W95" s="609"/>
      <c r="X95" s="609"/>
      <c r="Y95" s="609"/>
      <c r="Z95" s="52"/>
      <c r="AA95" s="622"/>
      <c r="AD95" s="33" t="str">
        <f>C93&amp;F95</f>
        <v>Sweden% GDP</v>
      </c>
    </row>
    <row r="96" spans="1:30" ht="37.5" customHeight="1">
      <c r="A96" s="1268">
        <v>0</v>
      </c>
      <c r="B96" s="1268" t="s">
        <v>858</v>
      </c>
      <c r="C96" s="1256" t="s">
        <v>558</v>
      </c>
      <c r="D96" s="1252" t="s">
        <v>571</v>
      </c>
      <c r="E96" s="15"/>
      <c r="F96" s="38" t="s">
        <v>115</v>
      </c>
      <c r="G96" s="251">
        <f>H96+J96</f>
        <v>30.8</v>
      </c>
      <c r="H96" s="640">
        <v>2.6</v>
      </c>
      <c r="I96" s="1193" t="s">
        <v>628</v>
      </c>
      <c r="J96" s="118">
        <v>28.2</v>
      </c>
      <c r="K96" s="1193" t="s">
        <v>629</v>
      </c>
      <c r="L96" s="410" t="s">
        <v>84</v>
      </c>
      <c r="M96" s="1184" t="s">
        <v>630</v>
      </c>
      <c r="N96" s="35"/>
      <c r="O96" s="38" t="s">
        <v>115</v>
      </c>
      <c r="P96" s="177">
        <f t="shared" si="6"/>
        <v>41.4</v>
      </c>
      <c r="Q96" s="269"/>
      <c r="R96" s="58"/>
      <c r="S96" s="35"/>
      <c r="T96" s="38" t="s">
        <v>115</v>
      </c>
      <c r="U96" s="251">
        <v>41.4</v>
      </c>
      <c r="V96" s="1202" t="s">
        <v>712</v>
      </c>
      <c r="W96" s="608"/>
      <c r="X96" s="608"/>
      <c r="Y96" s="608"/>
      <c r="AA96" s="621"/>
      <c r="AD96" s="33" t="str">
        <f>C96&amp;F96</f>
        <v>SwitzerlandLC bn</v>
      </c>
    </row>
    <row r="97" spans="1:30" ht="38.5" customHeight="1">
      <c r="A97" s="1268"/>
      <c r="B97" s="1268"/>
      <c r="C97" s="1256"/>
      <c r="D97" s="1253"/>
      <c r="F97" s="175" t="s">
        <v>116</v>
      </c>
      <c r="G97" s="251" t="e">
        <f>G96/VLOOKUP($C96,#REF!,7,0)</f>
        <v>#REF!</v>
      </c>
      <c r="H97" s="258" t="e">
        <f>H96/VLOOKUP($C96,#REF!,7,0)</f>
        <v>#REF!</v>
      </c>
      <c r="I97" s="1219"/>
      <c r="J97" s="251" t="e">
        <f>J96/VLOOKUP($C96,#REF!,7,0)</f>
        <v>#REF!</v>
      </c>
      <c r="K97" s="1219"/>
      <c r="L97" s="251"/>
      <c r="M97" s="1185"/>
      <c r="N97" s="35"/>
      <c r="O97" s="175" t="s">
        <v>116</v>
      </c>
      <c r="P97" s="118" t="e">
        <f t="shared" si="6"/>
        <v>#REF!</v>
      </c>
      <c r="Q97" s="251"/>
      <c r="R97" s="58"/>
      <c r="S97" s="35"/>
      <c r="T97" s="175" t="s">
        <v>116</v>
      </c>
      <c r="U97" s="251" t="e">
        <f>U96/VLOOKUP($C96,#REF!,7,0)</f>
        <v>#REF!</v>
      </c>
      <c r="V97" s="1185"/>
      <c r="W97" s="608"/>
      <c r="X97" s="608"/>
      <c r="Y97" s="608"/>
      <c r="AA97" s="621"/>
      <c r="AD97" s="33" t="str">
        <f>C96&amp;F97</f>
        <v>SwitzerlandUSD bn</v>
      </c>
    </row>
    <row r="98" spans="1:30" ht="47.15" customHeight="1">
      <c r="A98" s="1268"/>
      <c r="B98" s="1268"/>
      <c r="C98" s="1257"/>
      <c r="D98" s="1254"/>
      <c r="E98" s="12"/>
      <c r="F98" s="53" t="s">
        <v>117</v>
      </c>
      <c r="G98" s="252" t="e">
        <f>(G96/VLOOKUP($C96,#REF!,4,0))*100</f>
        <v>#REF!</v>
      </c>
      <c r="H98" s="252" t="e">
        <f>(H96/VLOOKUP($C96,#REF!,4,0))*100</f>
        <v>#REF!</v>
      </c>
      <c r="I98" s="1186"/>
      <c r="J98" s="252" t="e">
        <f>(J96/VLOOKUP($C96,#REF!,4,0))*100</f>
        <v>#REF!</v>
      </c>
      <c r="K98" s="1186"/>
      <c r="L98" s="252"/>
      <c r="M98" s="1186"/>
      <c r="N98" s="12"/>
      <c r="O98" s="53" t="s">
        <v>117</v>
      </c>
      <c r="P98" s="17" t="e">
        <f t="shared" si="6"/>
        <v>#REF!</v>
      </c>
      <c r="Q98" s="252"/>
      <c r="R98" s="643"/>
      <c r="S98" s="12"/>
      <c r="T98" s="53" t="s">
        <v>117</v>
      </c>
      <c r="U98" s="252" t="e">
        <f>(U96/VLOOKUP($C96,#REF!,4,0))*100</f>
        <v>#REF!</v>
      </c>
      <c r="V98" s="1186"/>
      <c r="W98" s="609"/>
      <c r="X98" s="609"/>
      <c r="Y98" s="608"/>
      <c r="AA98" s="621"/>
      <c r="AD98" s="33" t="str">
        <f>C96&amp;F98</f>
        <v>Switzerland% GDP</v>
      </c>
    </row>
    <row r="99" spans="1:30" s="37" customFormat="1" ht="90" customHeight="1">
      <c r="A99" s="1268">
        <v>0</v>
      </c>
      <c r="B99" s="1268" t="s">
        <v>861</v>
      </c>
      <c r="C99" s="1256" t="s">
        <v>41</v>
      </c>
      <c r="D99" s="1252" t="s">
        <v>570</v>
      </c>
      <c r="F99" s="175" t="s">
        <v>115</v>
      </c>
      <c r="G99" s="257">
        <v>19</v>
      </c>
      <c r="H99" s="617">
        <v>2.5</v>
      </c>
      <c r="I99" s="1220" t="s">
        <v>631</v>
      </c>
      <c r="J99" s="118">
        <v>16.5</v>
      </c>
      <c r="K99" s="1190" t="s">
        <v>896</v>
      </c>
      <c r="L99" s="608"/>
      <c r="M99" s="1184" t="s">
        <v>765</v>
      </c>
      <c r="O99" s="175" t="s">
        <v>115</v>
      </c>
      <c r="P99" s="496">
        <f t="shared" si="6"/>
        <v>26</v>
      </c>
      <c r="Q99" s="277"/>
      <c r="R99" s="608"/>
      <c r="T99" s="175" t="s">
        <v>115</v>
      </c>
      <c r="U99" s="257">
        <v>26</v>
      </c>
      <c r="V99" s="1193" t="s">
        <v>808</v>
      </c>
      <c r="W99" s="608"/>
      <c r="X99" s="608"/>
      <c r="Y99" s="608"/>
      <c r="AA99" s="608"/>
      <c r="AD99" s="33" t="str">
        <f>C99&amp;F99</f>
        <v>AlbaniaLC bn</v>
      </c>
    </row>
    <row r="100" spans="1:30" ht="90" customHeight="1">
      <c r="A100" s="1268"/>
      <c r="B100" s="1268"/>
      <c r="C100" s="1256"/>
      <c r="D100" s="1253"/>
      <c r="E100" s="37"/>
      <c r="F100" s="175" t="s">
        <v>116</v>
      </c>
      <c r="G100" s="258" t="e">
        <f>G99/VLOOKUP(C99,#REF!,7,0)</f>
        <v>#REF!</v>
      </c>
      <c r="H100" s="258" t="e">
        <f>H99/VLOOKUP($C99,#REF!,7,0)</f>
        <v>#REF!</v>
      </c>
      <c r="I100" s="1221"/>
      <c r="J100" s="258" t="e">
        <f>J99/VLOOKUP($C99,#REF!,7,0)</f>
        <v>#REF!</v>
      </c>
      <c r="K100" s="1238"/>
      <c r="L100" s="608"/>
      <c r="M100" s="1185"/>
      <c r="N100" s="37"/>
      <c r="O100" s="175" t="s">
        <v>116</v>
      </c>
      <c r="P100" s="412" t="e">
        <f t="shared" si="6"/>
        <v>#REF!</v>
      </c>
      <c r="Q100" s="277"/>
      <c r="R100" s="608"/>
      <c r="S100" s="37"/>
      <c r="T100" s="175" t="s">
        <v>116</v>
      </c>
      <c r="U100" s="258" t="e">
        <f>U99/VLOOKUP(C99,#REF!,7,0)</f>
        <v>#REF!</v>
      </c>
      <c r="V100" s="1196"/>
      <c r="W100" s="608"/>
      <c r="X100" s="608"/>
      <c r="Y100" s="608"/>
      <c r="Z100" s="37"/>
      <c r="AA100" s="608"/>
      <c r="AD100" s="33" t="str">
        <f>C99&amp;F100</f>
        <v>AlbaniaUSD bn</v>
      </c>
    </row>
    <row r="101" spans="1:30" ht="90" customHeight="1">
      <c r="A101" s="1268"/>
      <c r="B101" s="1268"/>
      <c r="C101" s="1257"/>
      <c r="D101" s="1254"/>
      <c r="E101" s="12"/>
      <c r="F101" s="53" t="s">
        <v>117</v>
      </c>
      <c r="G101" s="252" t="e">
        <f>(G99/VLOOKUP(C99,#REF!,4,0))*100</f>
        <v>#REF!</v>
      </c>
      <c r="H101" s="252" t="e">
        <f>(H99/VLOOKUP($C99,#REF!,4,0))*100</f>
        <v>#REF!</v>
      </c>
      <c r="I101" s="1222"/>
      <c r="J101" s="252" t="e">
        <f>J99/VLOOKUP($C99,#REF!,4,0)*100</f>
        <v>#REF!</v>
      </c>
      <c r="K101" s="1192"/>
      <c r="L101" s="609"/>
      <c r="M101" s="1186"/>
      <c r="N101" s="12"/>
      <c r="O101" s="53" t="s">
        <v>117</v>
      </c>
      <c r="P101" s="499" t="e">
        <f t="shared" si="6"/>
        <v>#REF!</v>
      </c>
      <c r="Q101" s="267"/>
      <c r="R101" s="643"/>
      <c r="S101" s="12"/>
      <c r="T101" s="53" t="s">
        <v>117</v>
      </c>
      <c r="U101" s="252" t="e">
        <f>(U99/VLOOKUP(C99,#REF!,4,0))*100</f>
        <v>#REF!</v>
      </c>
      <c r="V101" s="1197"/>
      <c r="W101" s="609"/>
      <c r="X101" s="609"/>
      <c r="Y101" s="609"/>
      <c r="Z101" s="52"/>
      <c r="AA101" s="622"/>
      <c r="AD101" s="33" t="str">
        <f>C99&amp;F101</f>
        <v>Albania% GDP</v>
      </c>
    </row>
    <row r="102" spans="1:30" ht="130" customHeight="1">
      <c r="A102" s="1268">
        <v>0</v>
      </c>
      <c r="B102" s="1268" t="s">
        <v>861</v>
      </c>
      <c r="C102" s="1256" t="s">
        <v>27</v>
      </c>
      <c r="D102" s="1252" t="s">
        <v>570</v>
      </c>
      <c r="E102" s="15"/>
      <c r="F102" s="38" t="s">
        <v>115</v>
      </c>
      <c r="G102" s="645">
        <f>1.5+0.5024</f>
        <v>2.0023999999999997</v>
      </c>
      <c r="H102" s="645">
        <v>0.50239999999999996</v>
      </c>
      <c r="I102" s="1193" t="s">
        <v>632</v>
      </c>
      <c r="J102" s="635">
        <v>1.6</v>
      </c>
      <c r="K102" s="1190" t="s">
        <v>731</v>
      </c>
      <c r="L102" s="617">
        <v>0.6</v>
      </c>
      <c r="M102" s="1184" t="s">
        <v>633</v>
      </c>
      <c r="N102" s="15"/>
      <c r="O102" s="175" t="s">
        <v>115</v>
      </c>
      <c r="P102" s="631">
        <f>Q102+U102+W102</f>
        <v>4.6295999999999999</v>
      </c>
      <c r="Q102" s="268">
        <f>0.7+0.344+0.16+0.418</f>
        <v>1.6219999999999999</v>
      </c>
      <c r="R102" s="1184" t="s">
        <v>732</v>
      </c>
      <c r="S102" s="15"/>
      <c r="T102" s="175" t="s">
        <v>115</v>
      </c>
      <c r="U102" s="286"/>
      <c r="V102" s="1184"/>
      <c r="W102" s="286">
        <f>1.5+0.68+0.72+0.004+0.0036+0.1</f>
        <v>3.0076000000000005</v>
      </c>
      <c r="X102" s="1184" t="s">
        <v>733</v>
      </c>
      <c r="Y102" s="1184" t="s">
        <v>78</v>
      </c>
      <c r="Z102" s="15"/>
      <c r="AA102" s="607"/>
      <c r="AD102" s="33" t="str">
        <f>C102&amp;F102</f>
        <v>BulgariaLC bn</v>
      </c>
    </row>
    <row r="103" spans="1:30" s="35" customFormat="1" ht="130" customHeight="1">
      <c r="A103" s="1268"/>
      <c r="B103" s="1268"/>
      <c r="C103" s="1256"/>
      <c r="D103" s="1253"/>
      <c r="E103" s="55"/>
      <c r="F103" s="175" t="s">
        <v>116</v>
      </c>
      <c r="G103" s="258" t="e">
        <f>G102/VLOOKUP($C102,#REF!,7,0)</f>
        <v>#REF!</v>
      </c>
      <c r="H103" s="258" t="e">
        <f>H102/VLOOKUP($C102,#REF!,7,0)</f>
        <v>#REF!</v>
      </c>
      <c r="I103" s="1203"/>
      <c r="J103" s="258" t="e">
        <f>J102/VLOOKUP($C102,#REF!,7,0)</f>
        <v>#REF!</v>
      </c>
      <c r="K103" s="1238"/>
      <c r="L103" s="258" t="e">
        <f>L102/VLOOKUP($C102,#REF!,7,0)</f>
        <v>#REF!</v>
      </c>
      <c r="M103" s="1185"/>
      <c r="N103" s="55"/>
      <c r="O103" s="175" t="s">
        <v>116</v>
      </c>
      <c r="P103" s="258" t="e">
        <f>Q103+U103+W103</f>
        <v>#REF!</v>
      </c>
      <c r="Q103" s="269" t="e">
        <f>Q102/VLOOKUP(C102,#REF!,7,0)</f>
        <v>#REF!</v>
      </c>
      <c r="R103" s="1219"/>
      <c r="S103" s="55"/>
      <c r="T103" s="175" t="s">
        <v>116</v>
      </c>
      <c r="U103" s="258"/>
      <c r="V103" s="1185"/>
      <c r="W103" s="258" t="e">
        <f>W102/VLOOKUP($C102,#REF!,7,0)</f>
        <v>#REF!</v>
      </c>
      <c r="X103" s="1219"/>
      <c r="Y103" s="1185"/>
      <c r="Z103" s="55"/>
      <c r="AA103" s="608"/>
      <c r="AD103" s="33" t="str">
        <f>C102&amp;F103</f>
        <v>BulgariaUSD bn</v>
      </c>
    </row>
    <row r="104" spans="1:30" ht="130" customHeight="1">
      <c r="A104" s="1268"/>
      <c r="B104" s="1268"/>
      <c r="C104" s="1257"/>
      <c r="D104" s="1254"/>
      <c r="E104" s="12"/>
      <c r="F104" s="53" t="s">
        <v>117</v>
      </c>
      <c r="G104" s="252" t="e">
        <f>(G102/VLOOKUP($C102,#REF!,4,0))*100</f>
        <v>#REF!</v>
      </c>
      <c r="H104" s="252" t="e">
        <f>(H102/VLOOKUP($C102,#REF!,4,0))*100</f>
        <v>#REF!</v>
      </c>
      <c r="I104" s="1204"/>
      <c r="J104" s="252" t="e">
        <f>(J102/VLOOKUP($C102,#REF!,4,0))*100</f>
        <v>#REF!</v>
      </c>
      <c r="K104" s="1192"/>
      <c r="L104" s="252" t="e">
        <f>(L102/VLOOKUP($C102,#REF!,4,0))*100</f>
        <v>#REF!</v>
      </c>
      <c r="M104" s="1186"/>
      <c r="N104" s="12"/>
      <c r="O104" s="53" t="s">
        <v>117</v>
      </c>
      <c r="P104" s="252" t="e">
        <f>Q104+U104+W104</f>
        <v>#REF!</v>
      </c>
      <c r="Q104" s="252" t="e">
        <f>(Q102/VLOOKUP($C102,#REF!,4,0))*100</f>
        <v>#REF!</v>
      </c>
      <c r="R104" s="1186"/>
      <c r="S104" s="12"/>
      <c r="T104" s="53" t="s">
        <v>117</v>
      </c>
      <c r="U104" s="252"/>
      <c r="V104" s="1186"/>
      <c r="W104" s="252" t="e">
        <f>(W102/VLOOKUP($C102,#REF!,4,0))*100</f>
        <v>#REF!</v>
      </c>
      <c r="X104" s="1186"/>
      <c r="Y104" s="1186"/>
      <c r="Z104" s="52"/>
      <c r="AA104" s="622"/>
      <c r="AD104" s="33" t="str">
        <f>C102&amp;F104</f>
        <v>Bulgaria% GDP</v>
      </c>
    </row>
    <row r="105" spans="1:30" s="35" customFormat="1" ht="37" customHeight="1">
      <c r="A105" s="1268">
        <v>0</v>
      </c>
      <c r="B105" s="1268" t="s">
        <v>861</v>
      </c>
      <c r="C105" s="1256" t="s">
        <v>42</v>
      </c>
      <c r="D105" s="1266" t="s">
        <v>571</v>
      </c>
      <c r="E105" s="16"/>
      <c r="F105" s="38" t="s">
        <v>115</v>
      </c>
      <c r="G105" s="281">
        <v>14800</v>
      </c>
      <c r="H105" s="282">
        <v>1400</v>
      </c>
      <c r="I105" s="1278" t="s">
        <v>634</v>
      </c>
      <c r="J105" s="282">
        <f>G105-H105</f>
        <v>13400</v>
      </c>
      <c r="K105" s="1190" t="s">
        <v>872</v>
      </c>
      <c r="L105" s="282">
        <v>3100</v>
      </c>
      <c r="M105" s="1238" t="s">
        <v>615</v>
      </c>
      <c r="N105" s="16"/>
      <c r="O105" s="175" t="s">
        <v>115</v>
      </c>
      <c r="P105" s="282">
        <f t="shared" si="6"/>
        <v>4550</v>
      </c>
      <c r="Q105" s="282">
        <v>2100</v>
      </c>
      <c r="R105" s="1238" t="s">
        <v>617</v>
      </c>
      <c r="S105" s="16"/>
      <c r="T105" s="175" t="s">
        <v>115</v>
      </c>
      <c r="U105" s="282">
        <v>2450</v>
      </c>
      <c r="V105" s="1238" t="s">
        <v>616</v>
      </c>
      <c r="W105" s="501"/>
      <c r="X105" s="1233"/>
      <c r="Y105" s="1184" t="s">
        <v>244</v>
      </c>
      <c r="Z105" s="16"/>
      <c r="AA105" s="1225" t="s">
        <v>50</v>
      </c>
      <c r="AD105" s="33" t="str">
        <f>C105&amp;F105</f>
        <v>ChileLC bn</v>
      </c>
    </row>
    <row r="106" spans="1:30" s="37" customFormat="1" ht="42.65" customHeight="1">
      <c r="A106" s="1268"/>
      <c r="B106" s="1268"/>
      <c r="C106" s="1256"/>
      <c r="D106" s="1266"/>
      <c r="E106" s="35"/>
      <c r="F106" s="175" t="s">
        <v>116</v>
      </c>
      <c r="G106" s="251" t="e">
        <f>G105/VLOOKUP($C105,#REF!,7,0)</f>
        <v>#REF!</v>
      </c>
      <c r="H106" s="258" t="e">
        <f>H105/VLOOKUP($C105,#REF!,7,0)</f>
        <v>#REF!</v>
      </c>
      <c r="I106" s="1279"/>
      <c r="J106" s="251" t="e">
        <f>J105/VLOOKUP($C105,#REF!,7,0)</f>
        <v>#REF!</v>
      </c>
      <c r="K106" s="1238"/>
      <c r="L106" s="258" t="e">
        <f>L105/VLOOKUP($C105,#REF!,7,0)</f>
        <v>#REF!</v>
      </c>
      <c r="M106" s="1238"/>
      <c r="N106" s="35"/>
      <c r="O106" s="175" t="s">
        <v>116</v>
      </c>
      <c r="P106" s="412" t="e">
        <f t="shared" si="6"/>
        <v>#REF!</v>
      </c>
      <c r="Q106" s="258" t="e">
        <f>Q105/VLOOKUP(C105,#REF!,7,0)</f>
        <v>#REF!</v>
      </c>
      <c r="R106" s="1238"/>
      <c r="S106" s="35"/>
      <c r="T106" s="175" t="s">
        <v>116</v>
      </c>
      <c r="U106" s="258" t="e">
        <f>U105/VLOOKUP(C105,#REF!,7,0)</f>
        <v>#REF!</v>
      </c>
      <c r="V106" s="1238"/>
      <c r="W106" s="258"/>
      <c r="X106" s="1247"/>
      <c r="Y106" s="1185"/>
      <c r="Z106" s="35"/>
      <c r="AA106" s="1226"/>
      <c r="AD106" s="33" t="str">
        <f>C105&amp;F106</f>
        <v>ChileUSD bn</v>
      </c>
    </row>
    <row r="107" spans="1:30" ht="43" customHeight="1">
      <c r="A107" s="1268"/>
      <c r="B107" s="1268"/>
      <c r="C107" s="1257"/>
      <c r="D107" s="1261"/>
      <c r="E107" s="12"/>
      <c r="F107" s="53" t="s">
        <v>117</v>
      </c>
      <c r="G107" s="252" t="e">
        <f>(G105/VLOOKUP($C105,#REF!,4,0))*100</f>
        <v>#REF!</v>
      </c>
      <c r="H107" s="252" t="e">
        <f>(H105/VLOOKUP($C105,#REF!,4,0))*100</f>
        <v>#REF!</v>
      </c>
      <c r="I107" s="1280"/>
      <c r="J107" s="252" t="e">
        <f>(J105/VLOOKUP($C105,#REF!,4,0))*100</f>
        <v>#REF!</v>
      </c>
      <c r="K107" s="1192"/>
      <c r="L107" s="633" t="e">
        <f>(L105/VLOOKUP(C105,#REF!,4,0))*100</f>
        <v>#REF!</v>
      </c>
      <c r="M107" s="1192"/>
      <c r="N107" s="12"/>
      <c r="O107" s="53" t="s">
        <v>117</v>
      </c>
      <c r="P107" s="499" t="e">
        <f t="shared" si="6"/>
        <v>#REF!</v>
      </c>
      <c r="Q107" s="252" t="e">
        <f>(Q105/VLOOKUP(C105,#REF!,4,0))*100</f>
        <v>#REF!</v>
      </c>
      <c r="R107" s="1192"/>
      <c r="S107" s="12"/>
      <c r="T107" s="53" t="s">
        <v>117</v>
      </c>
      <c r="U107" s="252" t="e">
        <f>(U105/VLOOKUP(C105,#REF!,4,0))*100</f>
        <v>#REF!</v>
      </c>
      <c r="V107" s="1192"/>
      <c r="W107" s="252"/>
      <c r="X107" s="1248"/>
      <c r="Y107" s="1186"/>
      <c r="Z107" s="52"/>
      <c r="AA107" s="1227"/>
      <c r="AD107" s="33" t="str">
        <f>C105&amp;F107</f>
        <v>Chile% GDP</v>
      </c>
    </row>
    <row r="108" spans="1:30" s="35" customFormat="1" ht="90" customHeight="1">
      <c r="A108" s="1268">
        <v>0</v>
      </c>
      <c r="B108" s="1268" t="s">
        <v>861</v>
      </c>
      <c r="C108" s="1256" t="s">
        <v>34</v>
      </c>
      <c r="D108" s="1252" t="s">
        <v>570</v>
      </c>
      <c r="E108" s="16"/>
      <c r="F108" s="38" t="s">
        <v>115</v>
      </c>
      <c r="G108" s="186">
        <f>H108+J108</f>
        <v>14557</v>
      </c>
      <c r="H108" s="186">
        <v>7284</v>
      </c>
      <c r="I108" s="1220" t="s">
        <v>767</v>
      </c>
      <c r="J108" s="186">
        <v>7273</v>
      </c>
      <c r="K108" s="1184" t="s">
        <v>801</v>
      </c>
      <c r="L108" s="617">
        <v>400</v>
      </c>
      <c r="M108" s="1184" t="s">
        <v>766</v>
      </c>
      <c r="N108" s="16"/>
      <c r="O108" s="175" t="s">
        <v>115</v>
      </c>
      <c r="P108" s="186">
        <f>Q108+U108+W108</f>
        <v>3755</v>
      </c>
      <c r="Q108" s="186">
        <v>3755</v>
      </c>
      <c r="R108" s="1228" t="s">
        <v>713</v>
      </c>
      <c r="S108" s="16"/>
      <c r="T108" s="175" t="s">
        <v>115</v>
      </c>
      <c r="U108" s="286"/>
      <c r="V108" s="1184"/>
      <c r="W108" s="22"/>
      <c r="X108" s="22"/>
      <c r="Y108" s="22"/>
      <c r="Z108" s="16"/>
      <c r="AA108" s="607"/>
      <c r="AD108" s="33" t="str">
        <f>C108&amp;F108</f>
        <v>ColombiaLC bn</v>
      </c>
    </row>
    <row r="109" spans="1:30" s="35" customFormat="1" ht="90" customHeight="1">
      <c r="A109" s="1268"/>
      <c r="B109" s="1268"/>
      <c r="C109" s="1256"/>
      <c r="D109" s="1253"/>
      <c r="F109" s="175" t="s">
        <v>116</v>
      </c>
      <c r="G109" s="258" t="e">
        <f>G108/VLOOKUP($C108,#REF!,7,0)</f>
        <v>#REF!</v>
      </c>
      <c r="H109" s="258" t="e">
        <f>H108/VLOOKUP($C108,#REF!,7,0)</f>
        <v>#REF!</v>
      </c>
      <c r="I109" s="1287"/>
      <c r="J109" s="258" t="e">
        <f>J108/VLOOKUP($C108,#REF!,7,0)</f>
        <v>#REF!</v>
      </c>
      <c r="K109" s="1219"/>
      <c r="L109" s="258" t="e">
        <f>L108/VLOOKUP($C108,#REF!,7,0)</f>
        <v>#REF!</v>
      </c>
      <c r="M109" s="1185"/>
      <c r="O109" s="175" t="s">
        <v>116</v>
      </c>
      <c r="P109" s="632" t="e">
        <f>Q109+U109+W109</f>
        <v>#REF!</v>
      </c>
      <c r="Q109" s="269" t="e">
        <f>Q108/#REF!</f>
        <v>#REF!</v>
      </c>
      <c r="R109" s="1219"/>
      <c r="T109" s="175" t="s">
        <v>116</v>
      </c>
      <c r="U109" s="258"/>
      <c r="V109" s="1185"/>
      <c r="W109" s="58"/>
      <c r="X109" s="58"/>
      <c r="Y109" s="58"/>
      <c r="AA109" s="608"/>
      <c r="AD109" s="33" t="str">
        <f>C108&amp;F109</f>
        <v>ColombiaUSD bn</v>
      </c>
    </row>
    <row r="110" spans="1:30" ht="79.5" customHeight="1">
      <c r="A110" s="1268"/>
      <c r="B110" s="1268"/>
      <c r="C110" s="1257"/>
      <c r="D110" s="1254"/>
      <c r="E110" s="12"/>
      <c r="F110" s="53" t="s">
        <v>117</v>
      </c>
      <c r="G110" s="252" t="e">
        <f>(G108/VLOOKUP($C108,#REF!,4,0))*100</f>
        <v>#REF!</v>
      </c>
      <c r="H110" s="252" t="e">
        <f>(H108/VLOOKUP($C108,#REF!,4,0))*100</f>
        <v>#REF!</v>
      </c>
      <c r="I110" s="1222"/>
      <c r="J110" s="252" t="e">
        <f>(J108/VLOOKUP($C108,#REF!,4,0))*100</f>
        <v>#REF!</v>
      </c>
      <c r="K110" s="1186"/>
      <c r="L110" s="252" t="e">
        <f>(L108/VLOOKUP($C108,#REF!,4,0))*100</f>
        <v>#REF!</v>
      </c>
      <c r="M110" s="1186"/>
      <c r="N110" s="12"/>
      <c r="O110" s="53" t="s">
        <v>117</v>
      </c>
      <c r="P110" s="17" t="e">
        <f>Q110+U110+W110</f>
        <v>#REF!</v>
      </c>
      <c r="Q110" s="267" t="e">
        <f>Q108/#REF!*100</f>
        <v>#REF!</v>
      </c>
      <c r="R110" s="1186"/>
      <c r="S110" s="12"/>
      <c r="T110" s="53" t="s">
        <v>117</v>
      </c>
      <c r="U110" s="252"/>
      <c r="V110" s="1186"/>
      <c r="W110" s="609"/>
      <c r="X110" s="609"/>
      <c r="Y110" s="609"/>
      <c r="Z110" s="52"/>
      <c r="AA110" s="622"/>
      <c r="AD110" s="33" t="str">
        <f>C108&amp;F110</f>
        <v>Colombia% GDP</v>
      </c>
    </row>
    <row r="111" spans="1:30" s="37" customFormat="1" ht="99.65" customHeight="1">
      <c r="A111" s="1268">
        <v>0</v>
      </c>
      <c r="B111" s="1268" t="s">
        <v>861</v>
      </c>
      <c r="C111" s="1256" t="s">
        <v>23</v>
      </c>
      <c r="D111" s="1252" t="s">
        <v>571</v>
      </c>
      <c r="E111" s="14"/>
      <c r="F111" s="38" t="s">
        <v>115</v>
      </c>
      <c r="G111" s="255">
        <v>100</v>
      </c>
      <c r="H111" s="617">
        <v>7.7</v>
      </c>
      <c r="I111" s="1193" t="s">
        <v>635</v>
      </c>
      <c r="J111" s="177">
        <f>G111-H111</f>
        <v>92.3</v>
      </c>
      <c r="K111" s="1184" t="s">
        <v>636</v>
      </c>
      <c r="L111" s="607"/>
      <c r="M111" s="1184" t="s">
        <v>637</v>
      </c>
      <c r="N111" s="14"/>
      <c r="O111" s="175" t="s">
        <v>115</v>
      </c>
      <c r="P111" s="631">
        <f>U111</f>
        <v>3</v>
      </c>
      <c r="Q111" s="117" t="s">
        <v>84</v>
      </c>
      <c r="R111" s="1202" t="s">
        <v>322</v>
      </c>
      <c r="S111" s="14"/>
      <c r="T111" s="175" t="s">
        <v>115</v>
      </c>
      <c r="U111" s="645">
        <v>3</v>
      </c>
      <c r="V111" s="1184" t="s">
        <v>560</v>
      </c>
      <c r="W111" s="607"/>
      <c r="X111" s="607"/>
      <c r="Y111" s="607"/>
      <c r="Z111" s="14"/>
      <c r="AA111" s="607"/>
      <c r="AD111" s="33" t="str">
        <f>C111&amp;F111</f>
        <v>EgyptLC bn</v>
      </c>
    </row>
    <row r="112" spans="1:30" s="37" customFormat="1" ht="95.15" customHeight="1">
      <c r="A112" s="1268"/>
      <c r="B112" s="1268"/>
      <c r="C112" s="1256"/>
      <c r="D112" s="1253"/>
      <c r="F112" s="175" t="s">
        <v>116</v>
      </c>
      <c r="G112" s="258" t="e">
        <f>G111/VLOOKUP(C111,#REF!,7,0)</f>
        <v>#REF!</v>
      </c>
      <c r="H112" s="258" t="e">
        <f>H111/VLOOKUP($C111,#REF!,7,0)</f>
        <v>#REF!</v>
      </c>
      <c r="I112" s="1203"/>
      <c r="J112" s="632" t="e">
        <f>J111/VLOOKUP(C111,#REF!,7,0)</f>
        <v>#REF!</v>
      </c>
      <c r="K112" s="1185"/>
      <c r="L112" s="608"/>
      <c r="M112" s="1185"/>
      <c r="O112" s="175" t="s">
        <v>116</v>
      </c>
      <c r="P112" s="632" t="e">
        <f t="shared" ref="P112:P143" si="7">Q112+U112+W112</f>
        <v>#REF!</v>
      </c>
      <c r="Q112" s="277"/>
      <c r="R112" s="1203"/>
      <c r="T112" s="175" t="s">
        <v>116</v>
      </c>
      <c r="U112" s="646" t="e">
        <f>U111/VLOOKUP(C111,#REF!,7,0)</f>
        <v>#REF!</v>
      </c>
      <c r="V112" s="1185"/>
      <c r="W112" s="608"/>
      <c r="X112" s="608"/>
      <c r="Y112" s="608"/>
      <c r="AA112" s="608"/>
      <c r="AD112" s="33" t="str">
        <f>C111&amp;F112</f>
        <v>EgyptUSD bn</v>
      </c>
    </row>
    <row r="113" spans="1:30" ht="90" customHeight="1">
      <c r="A113" s="1268"/>
      <c r="B113" s="1268"/>
      <c r="C113" s="1257"/>
      <c r="D113" s="1254"/>
      <c r="E113" s="12"/>
      <c r="F113" s="53" t="s">
        <v>117</v>
      </c>
      <c r="G113" s="252" t="e">
        <f>(G111/VLOOKUP(C111,#REF!,4,0))*100</f>
        <v>#REF!</v>
      </c>
      <c r="H113" s="252" t="e">
        <f>(H111/VLOOKUP($C111,#REF!,4,0))*100</f>
        <v>#REF!</v>
      </c>
      <c r="I113" s="1204"/>
      <c r="J113" s="633" t="e">
        <f>(J111/VLOOKUP(C111,#REF!,4,0))*100</f>
        <v>#REF!</v>
      </c>
      <c r="K113" s="1186"/>
      <c r="L113" s="609"/>
      <c r="M113" s="1186"/>
      <c r="N113" s="12"/>
      <c r="O113" s="53" t="s">
        <v>117</v>
      </c>
      <c r="P113" s="17" t="e">
        <f t="shared" si="7"/>
        <v>#REF!</v>
      </c>
      <c r="Q113" s="267"/>
      <c r="R113" s="1204"/>
      <c r="S113" s="12"/>
      <c r="T113" s="53" t="s">
        <v>117</v>
      </c>
      <c r="U113" s="252" t="e">
        <f>(U111/VLOOKUP(C111,#REF!,4,0))*100</f>
        <v>#REF!</v>
      </c>
      <c r="V113" s="1186"/>
      <c r="W113" s="609"/>
      <c r="X113" s="609"/>
      <c r="Y113" s="609"/>
      <c r="Z113" s="52"/>
      <c r="AA113" s="622"/>
      <c r="AD113" s="33" t="str">
        <f>C111&amp;F113</f>
        <v>Egypt% GDP</v>
      </c>
    </row>
    <row r="114" spans="1:30" ht="70.5" customHeight="1">
      <c r="A114" s="1268">
        <v>0</v>
      </c>
      <c r="B114" s="1268" t="s">
        <v>861</v>
      </c>
      <c r="C114" s="1256" t="s">
        <v>549</v>
      </c>
      <c r="D114" s="1266" t="s">
        <v>570</v>
      </c>
      <c r="E114" s="35"/>
      <c r="F114" s="38" t="s">
        <v>115</v>
      </c>
      <c r="G114" s="502">
        <v>2</v>
      </c>
      <c r="H114" s="503">
        <v>0.52300000000000002</v>
      </c>
      <c r="I114" s="1270" t="s">
        <v>781</v>
      </c>
      <c r="J114" s="503">
        <f>G114-H114</f>
        <v>1.4769999999999999</v>
      </c>
      <c r="K114" s="1193" t="s">
        <v>783</v>
      </c>
      <c r="L114" s="608"/>
      <c r="M114" s="1193" t="s">
        <v>816</v>
      </c>
      <c r="N114" s="509"/>
      <c r="O114" s="175" t="s">
        <v>115</v>
      </c>
      <c r="P114" s="502">
        <f>Q114+U114+W114</f>
        <v>7.0000000000000007E-2</v>
      </c>
      <c r="Q114" s="502">
        <v>7.0000000000000007E-2</v>
      </c>
      <c r="R114" s="1193" t="s">
        <v>784</v>
      </c>
      <c r="S114" s="35"/>
      <c r="T114" s="175" t="s">
        <v>115</v>
      </c>
      <c r="U114" s="489"/>
      <c r="V114" s="1241"/>
      <c r="W114" s="608"/>
      <c r="X114" s="608"/>
      <c r="Y114" s="608"/>
      <c r="AA114" s="621"/>
      <c r="AD114" s="33" t="str">
        <f>C114&amp;F114</f>
        <v>GeorgiaLC bn</v>
      </c>
    </row>
    <row r="115" spans="1:30" ht="90" customHeight="1">
      <c r="A115" s="1268"/>
      <c r="B115" s="1268"/>
      <c r="C115" s="1256"/>
      <c r="D115" s="1266"/>
      <c r="E115" s="35"/>
      <c r="F115" s="175" t="s">
        <v>116</v>
      </c>
      <c r="G115" s="258" t="e">
        <f>G114/VLOOKUP($C114,#REF!,7,0)</f>
        <v>#REF!</v>
      </c>
      <c r="H115" s="258" t="e">
        <f>H114/VLOOKUP($C114,#REF!,7,0)</f>
        <v>#REF!</v>
      </c>
      <c r="I115" s="1216"/>
      <c r="J115" s="258" t="e">
        <f>J114/VLOOKUP($C114,#REF!,7,0)</f>
        <v>#REF!</v>
      </c>
      <c r="K115" s="1216"/>
      <c r="L115" s="258"/>
      <c r="M115" s="1216"/>
      <c r="N115" s="509"/>
      <c r="O115" s="175" t="s">
        <v>116</v>
      </c>
      <c r="P115" s="646" t="e">
        <f>Q115+U115+W115</f>
        <v>#REF!</v>
      </c>
      <c r="Q115" s="77" t="e">
        <f>Q114/#REF!</f>
        <v>#REF!</v>
      </c>
      <c r="R115" s="1216"/>
      <c r="S115" s="35"/>
      <c r="T115" s="175" t="s">
        <v>116</v>
      </c>
      <c r="U115" s="258"/>
      <c r="V115" s="1284"/>
      <c r="W115" s="608"/>
      <c r="X115" s="608"/>
      <c r="Y115" s="608"/>
      <c r="AA115" s="621"/>
      <c r="AD115" s="33" t="str">
        <f>C114&amp;F115</f>
        <v>GeorgiaUSD bn</v>
      </c>
    </row>
    <row r="116" spans="1:30" ht="90" customHeight="1">
      <c r="A116" s="1268"/>
      <c r="B116" s="1268"/>
      <c r="C116" s="1257"/>
      <c r="D116" s="1261"/>
      <c r="E116" s="35"/>
      <c r="F116" s="53" t="s">
        <v>117</v>
      </c>
      <c r="G116" s="252" t="e">
        <f>(G114/VLOOKUP($C114,#REF!,4,0))*100</f>
        <v>#REF!</v>
      </c>
      <c r="H116" s="252" t="e">
        <f>(H114/VLOOKUP($C114,#REF!,4,0))*100</f>
        <v>#REF!</v>
      </c>
      <c r="I116" s="1197"/>
      <c r="J116" s="252" t="e">
        <f>(J114/VLOOKUP($C114,#REF!,4,0))*100</f>
        <v>#REF!</v>
      </c>
      <c r="K116" s="1197"/>
      <c r="L116" s="252"/>
      <c r="M116" s="1197"/>
      <c r="N116" s="509"/>
      <c r="O116" s="53" t="s">
        <v>117</v>
      </c>
      <c r="P116" s="252" t="e">
        <f>Q116+U116+W116</f>
        <v>#REF!</v>
      </c>
      <c r="Q116" s="78" t="e">
        <f>Q114/#REF!*100</f>
        <v>#REF!</v>
      </c>
      <c r="R116" s="1197"/>
      <c r="S116" s="35"/>
      <c r="T116" s="53" t="s">
        <v>117</v>
      </c>
      <c r="U116" s="252"/>
      <c r="V116" s="1243"/>
      <c r="W116" s="608"/>
      <c r="X116" s="608"/>
      <c r="Y116" s="608"/>
      <c r="AA116" s="621"/>
      <c r="AD116" s="33" t="str">
        <f>C114&amp;F116</f>
        <v>Georgia% GDP</v>
      </c>
    </row>
    <row r="117" spans="1:30" s="610" customFormat="1" ht="55" customHeight="1">
      <c r="A117" s="1268">
        <v>0</v>
      </c>
      <c r="B117" s="1268" t="s">
        <v>861</v>
      </c>
      <c r="C117" s="1282" t="s">
        <v>35</v>
      </c>
      <c r="D117" s="1266" t="s">
        <v>571</v>
      </c>
      <c r="E117" s="504"/>
      <c r="F117" s="505" t="s">
        <v>115</v>
      </c>
      <c r="G117" s="186">
        <v>1400</v>
      </c>
      <c r="H117" s="636" t="s">
        <v>84</v>
      </c>
      <c r="I117" s="1193" t="s">
        <v>638</v>
      </c>
      <c r="J117" s="636" t="s">
        <v>84</v>
      </c>
      <c r="K117" s="1193" t="s">
        <v>742</v>
      </c>
      <c r="L117" s="636" t="s">
        <v>84</v>
      </c>
      <c r="M117" s="1193" t="s">
        <v>809</v>
      </c>
      <c r="N117" s="629"/>
      <c r="O117" s="38" t="s">
        <v>115</v>
      </c>
      <c r="P117" s="186">
        <f>Q117+W117</f>
        <v>1900</v>
      </c>
      <c r="Q117" s="186">
        <v>1300</v>
      </c>
      <c r="R117" s="1193" t="s">
        <v>655</v>
      </c>
      <c r="S117" s="629"/>
      <c r="T117" s="38" t="s">
        <v>115</v>
      </c>
      <c r="U117" s="255"/>
      <c r="V117" s="1193" t="s">
        <v>576</v>
      </c>
      <c r="W117" s="617">
        <v>600</v>
      </c>
      <c r="X117" s="1193" t="s">
        <v>577</v>
      </c>
      <c r="Y117" s="607"/>
      <c r="Z117" s="629"/>
      <c r="AA117" s="607"/>
      <c r="AD117" s="33" t="str">
        <f>C117&amp;F117</f>
        <v>KazakhstanLC bn</v>
      </c>
    </row>
    <row r="118" spans="1:30" s="610" customFormat="1" ht="55" customHeight="1">
      <c r="A118" s="1268"/>
      <c r="B118" s="1268"/>
      <c r="C118" s="1282"/>
      <c r="D118" s="1266"/>
      <c r="E118" s="184"/>
      <c r="F118" s="506" t="s">
        <v>116</v>
      </c>
      <c r="G118" s="258" t="e">
        <f>G117/VLOOKUP($C117,#REF!,7,0)</f>
        <v>#REF!</v>
      </c>
      <c r="H118" s="637"/>
      <c r="I118" s="1216"/>
      <c r="J118" s="618"/>
      <c r="K118" s="1216"/>
      <c r="L118" s="608"/>
      <c r="M118" s="1216"/>
      <c r="O118" s="175" t="s">
        <v>116</v>
      </c>
      <c r="P118" s="412" t="e">
        <f t="shared" si="7"/>
        <v>#REF!</v>
      </c>
      <c r="Q118" s="258" t="e">
        <f>Q117/VLOOKUP($C117,#REF!,7,0)</f>
        <v>#REF!</v>
      </c>
      <c r="R118" s="1216"/>
      <c r="T118" s="175" t="s">
        <v>116</v>
      </c>
      <c r="U118" s="646"/>
      <c r="V118" s="1216"/>
      <c r="W118" s="258" t="e">
        <f>W117/VLOOKUP($C117,#REF!,7,0)</f>
        <v>#REF!</v>
      </c>
      <c r="X118" s="1216"/>
      <c r="Y118" s="608"/>
      <c r="AA118" s="608"/>
      <c r="AD118" s="33" t="str">
        <f>C117&amp;F118</f>
        <v>KazakhstanUSD bn</v>
      </c>
    </row>
    <row r="119" spans="1:30" ht="73.5" customHeight="1">
      <c r="A119" s="1268"/>
      <c r="B119" s="1268"/>
      <c r="C119" s="1283"/>
      <c r="D119" s="1261"/>
      <c r="E119" s="507"/>
      <c r="F119" s="508" t="s">
        <v>117</v>
      </c>
      <c r="G119" s="252" t="e">
        <f>(G117/VLOOKUP($C117,#REF!,4,0))*100</f>
        <v>#REF!</v>
      </c>
      <c r="H119" s="638"/>
      <c r="I119" s="1197"/>
      <c r="J119" s="633"/>
      <c r="K119" s="1197"/>
      <c r="L119" s="609"/>
      <c r="M119" s="1197"/>
      <c r="N119" s="12"/>
      <c r="O119" s="53" t="s">
        <v>117</v>
      </c>
      <c r="P119" s="499" t="e">
        <f t="shared" si="7"/>
        <v>#REF!</v>
      </c>
      <c r="Q119" s="252" t="e">
        <f>(Q117/VLOOKUP($C117,#REF!,4,0))*100</f>
        <v>#REF!</v>
      </c>
      <c r="R119" s="1197"/>
      <c r="S119" s="12"/>
      <c r="T119" s="53" t="s">
        <v>117</v>
      </c>
      <c r="U119" s="252"/>
      <c r="V119" s="1197"/>
      <c r="W119" s="252" t="e">
        <f>(W117/VLOOKUP($C117,#REF!,4,0))*100</f>
        <v>#REF!</v>
      </c>
      <c r="X119" s="1197"/>
      <c r="Y119" s="609"/>
      <c r="Z119" s="52"/>
      <c r="AA119" s="622"/>
      <c r="AD119" s="33" t="str">
        <f>C117&amp;F119</f>
        <v>Kazakhstan% GDP</v>
      </c>
    </row>
    <row r="120" spans="1:30" ht="46.5" customHeight="1">
      <c r="A120" s="1268">
        <v>0</v>
      </c>
      <c r="B120" s="1268" t="s">
        <v>861</v>
      </c>
      <c r="C120" s="1256" t="s">
        <v>92</v>
      </c>
      <c r="D120" s="1266" t="s">
        <v>570</v>
      </c>
      <c r="E120" s="629"/>
      <c r="F120" s="38" t="s">
        <v>115</v>
      </c>
      <c r="G120" s="645">
        <f>H120+J120</f>
        <v>8.0500000000000007</v>
      </c>
      <c r="H120" s="636">
        <v>1.3</v>
      </c>
      <c r="I120" s="1193" t="s">
        <v>639</v>
      </c>
      <c r="J120" s="645">
        <v>6.75</v>
      </c>
      <c r="K120" s="1193" t="s">
        <v>640</v>
      </c>
      <c r="L120" s="607"/>
      <c r="M120" s="607"/>
      <c r="N120" s="629"/>
      <c r="O120" s="175" t="s">
        <v>115</v>
      </c>
      <c r="P120" s="498">
        <f t="shared" si="7"/>
        <v>4.3449999999999998</v>
      </c>
      <c r="Q120" s="276">
        <f>4+0.2+0.145</f>
        <v>4.3449999999999998</v>
      </c>
      <c r="R120" s="1193" t="s">
        <v>729</v>
      </c>
      <c r="S120" s="629"/>
      <c r="T120" s="175" t="s">
        <v>115</v>
      </c>
      <c r="U120" s="645"/>
      <c r="V120" s="1184"/>
      <c r="W120" s="607"/>
      <c r="X120" s="607"/>
      <c r="Y120" s="607"/>
      <c r="Z120" s="629"/>
      <c r="AA120" s="607"/>
      <c r="AD120" s="33" t="str">
        <f>C120&amp;F120</f>
        <v>MauritiusLC bn</v>
      </c>
    </row>
    <row r="121" spans="1:30" ht="42.65" customHeight="1">
      <c r="A121" s="1268"/>
      <c r="B121" s="1268"/>
      <c r="C121" s="1256"/>
      <c r="D121" s="1266"/>
      <c r="E121" s="610"/>
      <c r="F121" s="175" t="s">
        <v>116</v>
      </c>
      <c r="G121" s="258" t="e">
        <f>G120/VLOOKUP(C120,#REF!,7,0)</f>
        <v>#REF!</v>
      </c>
      <c r="H121" s="258" t="e">
        <f>H120/VLOOKUP($C120,#REF!,7,0)</f>
        <v>#REF!</v>
      </c>
      <c r="I121" s="1216"/>
      <c r="J121" s="258" t="e">
        <f>J120/VLOOKUP($C120,#REF!,7,0)</f>
        <v>#REF!</v>
      </c>
      <c r="K121" s="1216"/>
      <c r="L121" s="608"/>
      <c r="M121" s="608"/>
      <c r="N121" s="610"/>
      <c r="O121" s="175" t="s">
        <v>116</v>
      </c>
      <c r="P121" s="412" t="e">
        <f t="shared" si="7"/>
        <v>#REF!</v>
      </c>
      <c r="Q121" s="269" t="e">
        <f>Q120/VLOOKUP(C120,#REF!,7,0)</f>
        <v>#REF!</v>
      </c>
      <c r="R121" s="1216"/>
      <c r="S121" s="610"/>
      <c r="T121" s="175" t="s">
        <v>116</v>
      </c>
      <c r="U121" s="646"/>
      <c r="V121" s="1185"/>
      <c r="W121" s="608"/>
      <c r="X121" s="608"/>
      <c r="Y121" s="608"/>
      <c r="Z121" s="610"/>
      <c r="AA121" s="608"/>
      <c r="AD121" s="33" t="str">
        <f>C120&amp;F121</f>
        <v>MauritiusUSD bn</v>
      </c>
    </row>
    <row r="122" spans="1:30" ht="56.5" customHeight="1">
      <c r="A122" s="1268"/>
      <c r="B122" s="1268"/>
      <c r="C122" s="1257"/>
      <c r="D122" s="1261"/>
      <c r="E122" s="12"/>
      <c r="F122" s="53" t="s">
        <v>117</v>
      </c>
      <c r="G122" s="252" t="e">
        <f>(G120/VLOOKUP(C120,#REF!,4,0))*100</f>
        <v>#REF!</v>
      </c>
      <c r="H122" s="252" t="e">
        <f>(H120/VLOOKUP($C120,#REF!,4,0))*100</f>
        <v>#REF!</v>
      </c>
      <c r="I122" s="1197"/>
      <c r="J122" s="252" t="e">
        <f>J120/VLOOKUP($C120,#REF!,4,0)*100</f>
        <v>#REF!</v>
      </c>
      <c r="K122" s="1197"/>
      <c r="L122" s="609"/>
      <c r="M122" s="609"/>
      <c r="N122" s="12"/>
      <c r="O122" s="53" t="s">
        <v>117</v>
      </c>
      <c r="P122" s="499" t="e">
        <f t="shared" si="7"/>
        <v>#REF!</v>
      </c>
      <c r="Q122" s="267" t="e">
        <f>(Q120/VLOOKUP(C120,#REF!,4,0))*100</f>
        <v>#REF!</v>
      </c>
      <c r="R122" s="1197"/>
      <c r="S122" s="12"/>
      <c r="T122" s="53" t="s">
        <v>117</v>
      </c>
      <c r="U122" s="252"/>
      <c r="V122" s="1186"/>
      <c r="W122" s="609"/>
      <c r="X122" s="609"/>
      <c r="Y122" s="609"/>
      <c r="Z122" s="52"/>
      <c r="AA122" s="622"/>
      <c r="AD122" s="33" t="str">
        <f>C120&amp;F122</f>
        <v>Mauritius% GDP</v>
      </c>
    </row>
    <row r="123" spans="1:30" ht="82.5" customHeight="1">
      <c r="A123" s="1268">
        <v>0</v>
      </c>
      <c r="B123" s="1268" t="s">
        <v>861</v>
      </c>
      <c r="C123" s="1282" t="s">
        <v>554</v>
      </c>
      <c r="D123" s="1266" t="s">
        <v>571</v>
      </c>
      <c r="E123" s="509"/>
      <c r="F123" s="505" t="s">
        <v>115</v>
      </c>
      <c r="G123" s="510">
        <f>H123+J123</f>
        <v>828</v>
      </c>
      <c r="H123" s="510">
        <v>178</v>
      </c>
      <c r="I123" s="1184" t="s">
        <v>725</v>
      </c>
      <c r="J123" s="250">
        <f>600+50</f>
        <v>650</v>
      </c>
      <c r="K123" s="1184" t="s">
        <v>726</v>
      </c>
      <c r="L123" s="250">
        <v>480</v>
      </c>
      <c r="M123" s="1184" t="s">
        <v>727</v>
      </c>
      <c r="N123" s="35"/>
      <c r="O123" s="505" t="s">
        <v>115</v>
      </c>
      <c r="P123" s="631" t="s">
        <v>84</v>
      </c>
      <c r="Q123" s="269"/>
      <c r="R123" s="608"/>
      <c r="S123" s="35"/>
      <c r="T123" s="505" t="s">
        <v>115</v>
      </c>
      <c r="U123" s="258"/>
      <c r="V123" s="608"/>
      <c r="W123" s="608" t="s">
        <v>84</v>
      </c>
      <c r="X123" s="1202" t="s">
        <v>728</v>
      </c>
      <c r="Y123" s="608"/>
      <c r="AA123" s="621"/>
      <c r="AD123" s="33" t="str">
        <f>C123&amp;F123</f>
        <v>PakistanLC bn</v>
      </c>
    </row>
    <row r="124" spans="1:30" ht="96.65" customHeight="1">
      <c r="A124" s="1268"/>
      <c r="B124" s="1268"/>
      <c r="C124" s="1282"/>
      <c r="D124" s="1266"/>
      <c r="E124" s="509"/>
      <c r="F124" s="506" t="s">
        <v>116</v>
      </c>
      <c r="G124" s="258" t="e">
        <f>G123/VLOOKUP($C123,#REF!,7,0)</f>
        <v>#REF!</v>
      </c>
      <c r="H124" s="258" t="e">
        <f>H123/VLOOKUP($C123,#REF!,7,0)</f>
        <v>#REF!</v>
      </c>
      <c r="I124" s="1219"/>
      <c r="J124" s="258" t="e">
        <f>J123/VLOOKUP($C123,#REF!,7,0)</f>
        <v>#REF!</v>
      </c>
      <c r="K124" s="1219"/>
      <c r="L124" s="258" t="e">
        <f>L123/VLOOKUP($C123,#REF!,7,0)</f>
        <v>#REF!</v>
      </c>
      <c r="M124" s="1219"/>
      <c r="N124" s="35"/>
      <c r="O124" s="506" t="s">
        <v>116</v>
      </c>
      <c r="P124" s="412"/>
      <c r="Q124" s="258"/>
      <c r="R124" s="608"/>
      <c r="S124" s="35"/>
      <c r="T124" s="506" t="s">
        <v>116</v>
      </c>
      <c r="U124" s="258"/>
      <c r="V124" s="608"/>
      <c r="W124" s="608"/>
      <c r="X124" s="1308"/>
      <c r="Y124" s="608"/>
      <c r="AA124" s="621"/>
      <c r="AD124" s="33" t="str">
        <f>C123&amp;F124</f>
        <v>PakistanUSD bn</v>
      </c>
    </row>
    <row r="125" spans="1:30" ht="92.5" customHeight="1">
      <c r="A125" s="1268"/>
      <c r="B125" s="1268"/>
      <c r="C125" s="1283"/>
      <c r="D125" s="1261"/>
      <c r="E125" s="509"/>
      <c r="F125" s="508" t="s">
        <v>117</v>
      </c>
      <c r="G125" s="252" t="e">
        <f>(G123/VLOOKUP($C123,#REF!,4,0))*100</f>
        <v>#REF!</v>
      </c>
      <c r="H125" s="252" t="e">
        <f>(H123/VLOOKUP($C123,#REF!,4,0))*100</f>
        <v>#REF!</v>
      </c>
      <c r="I125" s="1186"/>
      <c r="J125" s="252" t="e">
        <f>(J123/VLOOKUP($C123,#REF!,4,0))*100</f>
        <v>#REF!</v>
      </c>
      <c r="K125" s="1186"/>
      <c r="L125" s="252" t="e">
        <f>(L123/VLOOKUP($C123,#REF!,4,0))*100</f>
        <v>#REF!</v>
      </c>
      <c r="M125" s="1186"/>
      <c r="N125" s="12"/>
      <c r="O125" s="508" t="s">
        <v>117</v>
      </c>
      <c r="P125" s="499"/>
      <c r="Q125" s="252"/>
      <c r="R125" s="609"/>
      <c r="S125" s="12"/>
      <c r="T125" s="508" t="s">
        <v>117</v>
      </c>
      <c r="U125" s="252"/>
      <c r="V125" s="609"/>
      <c r="W125" s="609"/>
      <c r="X125" s="1204"/>
      <c r="Y125" s="608"/>
      <c r="AA125" s="621"/>
      <c r="AD125" s="33" t="str">
        <f>C123&amp;F125</f>
        <v>Pakistan% GDP</v>
      </c>
    </row>
    <row r="126" spans="1:30" ht="42.65" customHeight="1">
      <c r="A126" s="1268">
        <v>0</v>
      </c>
      <c r="B126" s="1268" t="s">
        <v>861</v>
      </c>
      <c r="C126" s="1256" t="s">
        <v>555</v>
      </c>
      <c r="D126" s="1266" t="s">
        <v>570</v>
      </c>
      <c r="E126" s="509"/>
      <c r="F126" s="505" t="s">
        <v>115</v>
      </c>
      <c r="G126" s="510">
        <v>55</v>
      </c>
      <c r="H126" s="502">
        <f>1.15+0.033</f>
        <v>1.1829999999999998</v>
      </c>
      <c r="I126" s="1193" t="s">
        <v>641</v>
      </c>
      <c r="J126" s="510">
        <f>G126-H126</f>
        <v>53.817</v>
      </c>
      <c r="K126" s="1193" t="s">
        <v>642</v>
      </c>
      <c r="L126" s="510">
        <v>10.3</v>
      </c>
      <c r="M126" s="1193" t="s">
        <v>585</v>
      </c>
      <c r="N126" s="35"/>
      <c r="O126" s="505" t="s">
        <v>115</v>
      </c>
      <c r="P126" s="496">
        <f t="shared" si="7"/>
        <v>60</v>
      </c>
      <c r="Q126" s="258"/>
      <c r="R126" s="608"/>
      <c r="S126" s="35"/>
      <c r="T126" s="505" t="s">
        <v>115</v>
      </c>
      <c r="U126" s="510">
        <v>60</v>
      </c>
      <c r="V126" s="1193" t="s">
        <v>578</v>
      </c>
      <c r="W126" s="489"/>
      <c r="X126" s="1241"/>
      <c r="Y126" s="608"/>
      <c r="AA126" s="621"/>
      <c r="AD126" s="33" t="str">
        <f>C126&amp;F126</f>
        <v>PeruLC bn</v>
      </c>
    </row>
    <row r="127" spans="1:30" ht="37" customHeight="1">
      <c r="A127" s="1268"/>
      <c r="B127" s="1268"/>
      <c r="C127" s="1256"/>
      <c r="D127" s="1266"/>
      <c r="E127" s="509"/>
      <c r="F127" s="506" t="s">
        <v>116</v>
      </c>
      <c r="G127" s="251" t="e">
        <f>G126/VLOOKUP($C126,#REF!,7,0)</f>
        <v>#REF!</v>
      </c>
      <c r="H127" s="258" t="e">
        <f>H126/VLOOKUP($C126,#REF!,7,0)</f>
        <v>#REF!</v>
      </c>
      <c r="I127" s="1216"/>
      <c r="J127" s="251" t="e">
        <f>J126/VLOOKUP($C126,#REF!,7,0)</f>
        <v>#REF!</v>
      </c>
      <c r="K127" s="1216"/>
      <c r="L127" s="258" t="e">
        <f>L126/VLOOKUP($C126,#REF!,7,0)</f>
        <v>#REF!</v>
      </c>
      <c r="M127" s="1216"/>
      <c r="N127" s="35"/>
      <c r="O127" s="506" t="s">
        <v>116</v>
      </c>
      <c r="P127" s="497" t="e">
        <f t="shared" si="7"/>
        <v>#REF!</v>
      </c>
      <c r="Q127" s="258"/>
      <c r="R127" s="608"/>
      <c r="S127" s="35"/>
      <c r="T127" s="506" t="s">
        <v>116</v>
      </c>
      <c r="U127" s="251" t="e">
        <f>U126/VLOOKUP($C126,#REF!,7,0)</f>
        <v>#REF!</v>
      </c>
      <c r="V127" s="1216"/>
      <c r="W127" s="608"/>
      <c r="X127" s="1284"/>
      <c r="Y127" s="608"/>
      <c r="AA127" s="621"/>
      <c r="AD127" s="33" t="str">
        <f>C126&amp;F127</f>
        <v>PeruUSD bn</v>
      </c>
    </row>
    <row r="128" spans="1:30" ht="44.5" customHeight="1">
      <c r="A128" s="1268"/>
      <c r="B128" s="1268"/>
      <c r="C128" s="1257"/>
      <c r="D128" s="1261"/>
      <c r="E128" s="509"/>
      <c r="F128" s="508" t="s">
        <v>117</v>
      </c>
      <c r="G128" s="252" t="e">
        <f>(G126/VLOOKUP($C126,#REF!,4,0))*100</f>
        <v>#REF!</v>
      </c>
      <c r="H128" s="252" t="e">
        <f>(H126/VLOOKUP($C126,#REF!,4,0))*100</f>
        <v>#REF!</v>
      </c>
      <c r="I128" s="1197"/>
      <c r="J128" s="252" t="e">
        <f>(J126/VLOOKUP($C126,#REF!,4,0))*100</f>
        <v>#REF!</v>
      </c>
      <c r="K128" s="1197"/>
      <c r="L128" s="252" t="e">
        <f>(L126/VLOOKUP($C126,#REF!,4,0))*100</f>
        <v>#REF!</v>
      </c>
      <c r="M128" s="1197"/>
      <c r="N128" s="12"/>
      <c r="O128" s="508" t="s">
        <v>117</v>
      </c>
      <c r="P128" s="499" t="e">
        <f t="shared" si="7"/>
        <v>#REF!</v>
      </c>
      <c r="Q128" s="252"/>
      <c r="R128" s="609"/>
      <c r="S128" s="12"/>
      <c r="T128" s="508" t="s">
        <v>117</v>
      </c>
      <c r="U128" s="252" t="e">
        <f>(U126/VLOOKUP($C126,#REF!,4,0))*100</f>
        <v>#REF!</v>
      </c>
      <c r="V128" s="1197"/>
      <c r="W128" s="609"/>
      <c r="X128" s="1243"/>
      <c r="Y128" s="608"/>
      <c r="AA128" s="621"/>
      <c r="AD128" s="33" t="str">
        <f>C126&amp;F128</f>
        <v>Peru% GDP</v>
      </c>
    </row>
    <row r="129" spans="1:30" ht="40" customHeight="1">
      <c r="A129" s="1268">
        <v>0</v>
      </c>
      <c r="B129" s="1268" t="s">
        <v>861</v>
      </c>
      <c r="C129" s="1256" t="s">
        <v>556</v>
      </c>
      <c r="D129" s="1266" t="s">
        <v>571</v>
      </c>
      <c r="E129" s="509"/>
      <c r="F129" s="505" t="s">
        <v>115</v>
      </c>
      <c r="G129" s="510">
        <v>421.9</v>
      </c>
      <c r="H129" s="510">
        <v>64.099999999999994</v>
      </c>
      <c r="I129" s="1193" t="s">
        <v>790</v>
      </c>
      <c r="J129" s="510">
        <f>315.8+42</f>
        <v>357.8</v>
      </c>
      <c r="K129" s="1193" t="s">
        <v>743</v>
      </c>
      <c r="L129" s="502"/>
      <c r="M129" s="608"/>
      <c r="N129" s="35"/>
      <c r="O129" s="505" t="s">
        <v>115</v>
      </c>
      <c r="P129" s="496">
        <f t="shared" si="7"/>
        <v>193.8</v>
      </c>
      <c r="Q129" s="502">
        <f>2.8+70</f>
        <v>72.8</v>
      </c>
      <c r="R129" s="1193" t="s">
        <v>810</v>
      </c>
      <c r="S129" s="35"/>
      <c r="T129" s="505" t="s">
        <v>115</v>
      </c>
      <c r="U129" s="510">
        <v>120</v>
      </c>
      <c r="V129" s="1193" t="s">
        <v>579</v>
      </c>
      <c r="W129" s="502">
        <v>1</v>
      </c>
      <c r="X129" s="1193" t="s">
        <v>580</v>
      </c>
      <c r="Y129" s="608"/>
      <c r="AA129" s="621"/>
      <c r="AD129" s="33" t="str">
        <f>C129&amp;F129</f>
        <v>PhilippinesLC bn</v>
      </c>
    </row>
    <row r="130" spans="1:30" ht="40" customHeight="1">
      <c r="A130" s="1268"/>
      <c r="B130" s="1268"/>
      <c r="C130" s="1256"/>
      <c r="D130" s="1266"/>
      <c r="E130" s="509"/>
      <c r="F130" s="506" t="s">
        <v>116</v>
      </c>
      <c r="G130" s="258" t="e">
        <f>G129/VLOOKUP($C129,#REF!,7,0)</f>
        <v>#REF!</v>
      </c>
      <c r="H130" s="258" t="e">
        <f>H129/VLOOKUP($C129,#REF!,7,0)</f>
        <v>#REF!</v>
      </c>
      <c r="I130" s="1216"/>
      <c r="J130" s="258" t="e">
        <f>J129/VLOOKUP($C129,#REF!,7,0)</f>
        <v>#REF!</v>
      </c>
      <c r="K130" s="1216"/>
      <c r="L130" s="258"/>
      <c r="M130" s="608"/>
      <c r="N130" s="35"/>
      <c r="O130" s="506" t="s">
        <v>116</v>
      </c>
      <c r="P130" s="412" t="e">
        <f t="shared" si="7"/>
        <v>#REF!</v>
      </c>
      <c r="Q130" s="258" t="e">
        <f>Q129/VLOOKUP($C129,#REF!,7,0)</f>
        <v>#REF!</v>
      </c>
      <c r="R130" s="1216"/>
      <c r="S130" s="35"/>
      <c r="T130" s="506" t="s">
        <v>116</v>
      </c>
      <c r="U130" s="258" t="e">
        <f>U129/VLOOKUP($C129,#REF!,7,0)</f>
        <v>#REF!</v>
      </c>
      <c r="V130" s="1216"/>
      <c r="W130" s="258" t="e">
        <f>W129/VLOOKUP($C129,#REF!,7,0)</f>
        <v>#REF!</v>
      </c>
      <c r="X130" s="1216"/>
      <c r="Y130" s="608"/>
      <c r="AA130" s="621"/>
      <c r="AD130" s="33" t="str">
        <f>C129&amp;F130</f>
        <v>PhilippinesUSD bn</v>
      </c>
    </row>
    <row r="131" spans="1:30" ht="40" customHeight="1">
      <c r="A131" s="1268"/>
      <c r="B131" s="1268"/>
      <c r="C131" s="1257"/>
      <c r="D131" s="1261"/>
      <c r="E131" s="509"/>
      <c r="F131" s="508" t="s">
        <v>117</v>
      </c>
      <c r="G131" s="252" t="e">
        <f>(G129/VLOOKUP($C129,#REF!,4,0))*100</f>
        <v>#REF!</v>
      </c>
      <c r="H131" s="252" t="e">
        <f>(H129/VLOOKUP($C129,#REF!,4,0))*100</f>
        <v>#REF!</v>
      </c>
      <c r="I131" s="1197"/>
      <c r="J131" s="252" t="e">
        <f>(J129/VLOOKUP($C129,#REF!,4,0))*100</f>
        <v>#REF!</v>
      </c>
      <c r="K131" s="1197"/>
      <c r="L131" s="252"/>
      <c r="M131" s="608"/>
      <c r="N131" s="35"/>
      <c r="O131" s="508" t="s">
        <v>117</v>
      </c>
      <c r="P131" s="499" t="e">
        <f t="shared" si="7"/>
        <v>#REF!</v>
      </c>
      <c r="Q131" s="252" t="e">
        <f>(Q129/VLOOKUP($C129,#REF!,4,0))*100</f>
        <v>#REF!</v>
      </c>
      <c r="R131" s="1197"/>
      <c r="S131" s="35"/>
      <c r="T131" s="508" t="s">
        <v>117</v>
      </c>
      <c r="U131" s="252" t="e">
        <f>(U129/VLOOKUP($C129,#REF!,4,0))*100</f>
        <v>#REF!</v>
      </c>
      <c r="V131" s="1197"/>
      <c r="W131" s="252" t="e">
        <f>(W129/VLOOKUP($C129,#REF!,4,0))*100</f>
        <v>#REF!</v>
      </c>
      <c r="X131" s="1197"/>
      <c r="Y131" s="608"/>
      <c r="AA131" s="621"/>
      <c r="AD131" s="33" t="str">
        <f>C129&amp;F131</f>
        <v>Philippines% GDP</v>
      </c>
    </row>
    <row r="132" spans="1:30" s="610" customFormat="1" ht="60" customHeight="1">
      <c r="A132" s="1268">
        <v>0</v>
      </c>
      <c r="B132" s="1268" t="s">
        <v>861</v>
      </c>
      <c r="C132" s="1256" t="s">
        <v>22</v>
      </c>
      <c r="D132" s="1252" t="s">
        <v>570</v>
      </c>
      <c r="E132" s="629"/>
      <c r="F132" s="38" t="s">
        <v>115</v>
      </c>
      <c r="G132" s="255">
        <f>H132+J132</f>
        <v>165.9</v>
      </c>
      <c r="H132" s="631">
        <v>8.5</v>
      </c>
      <c r="I132" s="1184" t="s">
        <v>643</v>
      </c>
      <c r="J132" s="177">
        <f>95.5+61.9</f>
        <v>157.4</v>
      </c>
      <c r="K132" s="1184" t="s">
        <v>817</v>
      </c>
      <c r="L132" s="617" t="s">
        <v>84</v>
      </c>
      <c r="M132" s="1184" t="s">
        <v>656</v>
      </c>
      <c r="N132" s="629"/>
      <c r="O132" s="175" t="s">
        <v>115</v>
      </c>
      <c r="P132" s="496">
        <f t="shared" si="7"/>
        <v>112.1</v>
      </c>
      <c r="Q132" s="276"/>
      <c r="R132" s="1184"/>
      <c r="S132" s="629"/>
      <c r="T132" s="554" t="s">
        <v>115</v>
      </c>
      <c r="U132" s="117">
        <f>74</f>
        <v>74</v>
      </c>
      <c r="V132" s="1184" t="s">
        <v>622</v>
      </c>
      <c r="W132" s="117">
        <f>100-61.9</f>
        <v>38.1</v>
      </c>
      <c r="X132" s="1184" t="s">
        <v>779</v>
      </c>
      <c r="Y132" s="199" t="s">
        <v>189</v>
      </c>
      <c r="Z132" s="629"/>
      <c r="AA132" s="198" t="s">
        <v>188</v>
      </c>
      <c r="AD132" s="33" t="str">
        <f>C132&amp;F132</f>
        <v>PolandLC bn</v>
      </c>
    </row>
    <row r="133" spans="1:30" s="610" customFormat="1" ht="60" customHeight="1">
      <c r="A133" s="1268"/>
      <c r="B133" s="1268"/>
      <c r="C133" s="1256"/>
      <c r="D133" s="1253"/>
      <c r="F133" s="175" t="s">
        <v>116</v>
      </c>
      <c r="G133" s="251" t="e">
        <f>G132/VLOOKUP(C132,#REF!,7,0)</f>
        <v>#REF!</v>
      </c>
      <c r="H133" s="258" t="e">
        <f>H132/VLOOKUP($C132,#REF!,7,0)</f>
        <v>#REF!</v>
      </c>
      <c r="I133" s="1185"/>
      <c r="J133" s="251" t="e">
        <f>J132/VLOOKUP($C132,#REF!,7,0)</f>
        <v>#REF!</v>
      </c>
      <c r="K133" s="1219"/>
      <c r="L133" s="608"/>
      <c r="M133" s="1185"/>
      <c r="O133" s="175" t="s">
        <v>116</v>
      </c>
      <c r="P133" s="497" t="e">
        <f t="shared" si="7"/>
        <v>#REF!</v>
      </c>
      <c r="Q133" s="277"/>
      <c r="R133" s="1185"/>
      <c r="T133" s="175" t="s">
        <v>116</v>
      </c>
      <c r="U133" s="285" t="e">
        <f>U132/VLOOKUP(C132,#REF!,7,0)</f>
        <v>#REF!</v>
      </c>
      <c r="V133" s="1185"/>
      <c r="W133" s="251" t="e">
        <f>W132/VLOOKUP($C132,#REF!,7,0)</f>
        <v>#REF!</v>
      </c>
      <c r="X133" s="1219"/>
      <c r="Y133" s="608"/>
      <c r="AA133" s="608"/>
      <c r="AD133" s="33" t="str">
        <f>C132&amp;F133</f>
        <v>PolandUSD bn</v>
      </c>
    </row>
    <row r="134" spans="1:30" ht="69.650000000000006" customHeight="1">
      <c r="A134" s="1268"/>
      <c r="B134" s="1268"/>
      <c r="C134" s="1257"/>
      <c r="D134" s="1254"/>
      <c r="E134" s="12"/>
      <c r="F134" s="53" t="s">
        <v>117</v>
      </c>
      <c r="G134" s="252" t="e">
        <f>(G132/VLOOKUP(C132,#REF!,4,0))*100</f>
        <v>#REF!</v>
      </c>
      <c r="H134" s="252" t="e">
        <f>(H132/VLOOKUP($C132,#REF!,4,0))*100</f>
        <v>#REF!</v>
      </c>
      <c r="I134" s="1186"/>
      <c r="J134" s="252" t="e">
        <f>(J132/VLOOKUP($C132,#REF!,4,0))*100</f>
        <v>#REF!</v>
      </c>
      <c r="K134" s="1186"/>
      <c r="L134" s="609"/>
      <c r="M134" s="1186"/>
      <c r="N134" s="12"/>
      <c r="O134" s="53" t="s">
        <v>117</v>
      </c>
      <c r="P134" s="499" t="e">
        <f t="shared" si="7"/>
        <v>#REF!</v>
      </c>
      <c r="Q134" s="267"/>
      <c r="R134" s="1186"/>
      <c r="S134" s="12"/>
      <c r="T134" s="53" t="s">
        <v>117</v>
      </c>
      <c r="U134" s="78" t="e">
        <f>(U132/VLOOKUP(C132,#REF!,4,0))*100</f>
        <v>#REF!</v>
      </c>
      <c r="V134" s="1186"/>
      <c r="W134" s="252" t="e">
        <f>(W132/VLOOKUP($C132,#REF!,4,0))*100</f>
        <v>#REF!</v>
      </c>
      <c r="X134" s="1186"/>
      <c r="Y134" s="609"/>
      <c r="Z134" s="52"/>
      <c r="AA134" s="622"/>
      <c r="AD134" s="33" t="str">
        <f>C132&amp;F134</f>
        <v>Poland% GDP</v>
      </c>
    </row>
    <row r="135" spans="1:30" ht="60" customHeight="1">
      <c r="A135" s="1268">
        <v>0</v>
      </c>
      <c r="B135" s="1268" t="s">
        <v>861</v>
      </c>
      <c r="C135" s="1256" t="s">
        <v>557</v>
      </c>
      <c r="D135" s="1252" t="s">
        <v>571</v>
      </c>
      <c r="E135" s="35"/>
      <c r="F135" s="38" t="s">
        <v>115</v>
      </c>
      <c r="G135" s="251">
        <v>16.7</v>
      </c>
      <c r="H135" s="640">
        <v>6.4</v>
      </c>
      <c r="I135" s="1184" t="s">
        <v>744</v>
      </c>
      <c r="J135" s="118">
        <f>G135-H135</f>
        <v>10.299999999999999</v>
      </c>
      <c r="K135" s="1184" t="s">
        <v>745</v>
      </c>
      <c r="L135" s="618"/>
      <c r="M135" s="1190" t="s">
        <v>746</v>
      </c>
      <c r="N135" s="35"/>
      <c r="O135" s="175" t="s">
        <v>115</v>
      </c>
      <c r="P135" s="496">
        <f t="shared" si="7"/>
        <v>31.7</v>
      </c>
      <c r="Q135" s="269">
        <v>1.7</v>
      </c>
      <c r="R135" s="1184" t="s">
        <v>644</v>
      </c>
      <c r="S135" s="35"/>
      <c r="T135" s="175" t="s">
        <v>115</v>
      </c>
      <c r="U135" s="285">
        <v>30</v>
      </c>
      <c r="V135" s="1202" t="s">
        <v>582</v>
      </c>
      <c r="W135" s="608"/>
      <c r="X135" s="608"/>
      <c r="Y135" s="608"/>
      <c r="AA135" s="621"/>
      <c r="AD135" s="33" t="str">
        <f>C135&amp;F135</f>
        <v>RomaniaLC bn</v>
      </c>
    </row>
    <row r="136" spans="1:30" ht="60" customHeight="1">
      <c r="A136" s="1268"/>
      <c r="B136" s="1268"/>
      <c r="C136" s="1256"/>
      <c r="D136" s="1253"/>
      <c r="E136" s="35"/>
      <c r="F136" s="175" t="s">
        <v>116</v>
      </c>
      <c r="G136" s="258" t="e">
        <f>G135/VLOOKUP($C135,#REF!,7,0)</f>
        <v>#REF!</v>
      </c>
      <c r="H136" s="258" t="e">
        <f>H135/VLOOKUP($C135,#REF!,7,0)</f>
        <v>#REF!</v>
      </c>
      <c r="I136" s="1219"/>
      <c r="J136" s="258" t="e">
        <f>J135/VLOOKUP($C135,#REF!,7,0)</f>
        <v>#REF!</v>
      </c>
      <c r="K136" s="1219"/>
      <c r="L136" s="258"/>
      <c r="M136" s="1238"/>
      <c r="N136" s="35"/>
      <c r="O136" s="175" t="s">
        <v>116</v>
      </c>
      <c r="P136" s="412" t="e">
        <f t="shared" si="7"/>
        <v>#REF!</v>
      </c>
      <c r="Q136" s="258" t="e">
        <f>Q135/VLOOKUP($C135,#REF!,7,0)</f>
        <v>#REF!</v>
      </c>
      <c r="R136" s="1219"/>
      <c r="S136" s="35"/>
      <c r="T136" s="175" t="s">
        <v>116</v>
      </c>
      <c r="U136" s="258" t="e">
        <f>U135/VLOOKUP($C135,#REF!,7,0)</f>
        <v>#REF!</v>
      </c>
      <c r="V136" s="1219"/>
      <c r="W136" s="608"/>
      <c r="X136" s="608"/>
      <c r="Y136" s="608"/>
      <c r="AA136" s="621"/>
      <c r="AD136" s="33" t="str">
        <f>C135&amp;F136</f>
        <v>RomaniaUSD bn</v>
      </c>
    </row>
    <row r="137" spans="1:30" ht="54" customHeight="1">
      <c r="A137" s="1268"/>
      <c r="B137" s="1268"/>
      <c r="C137" s="1257"/>
      <c r="D137" s="1254"/>
      <c r="E137" s="35"/>
      <c r="F137" s="53" t="s">
        <v>117</v>
      </c>
      <c r="G137" s="252" t="e">
        <f>(G135/VLOOKUP($C135,#REF!,4,0))*100</f>
        <v>#REF!</v>
      </c>
      <c r="H137" s="252" t="e">
        <f>(H135/VLOOKUP($C135,#REF!,4,0))*100</f>
        <v>#REF!</v>
      </c>
      <c r="I137" s="1186"/>
      <c r="J137" s="252" t="e">
        <f>(J135/VLOOKUP($C135,#REF!,4,0))*100</f>
        <v>#REF!</v>
      </c>
      <c r="K137" s="1186"/>
      <c r="L137" s="252"/>
      <c r="M137" s="1192"/>
      <c r="N137" s="12"/>
      <c r="O137" s="53" t="s">
        <v>117</v>
      </c>
      <c r="P137" s="499" t="e">
        <f t="shared" si="7"/>
        <v>#REF!</v>
      </c>
      <c r="Q137" s="252" t="e">
        <f>(Q135/VLOOKUP($C135,#REF!,4,0))*100</f>
        <v>#REF!</v>
      </c>
      <c r="R137" s="1186"/>
      <c r="S137" s="12"/>
      <c r="T137" s="53" t="s">
        <v>117</v>
      </c>
      <c r="U137" s="252" t="e">
        <f>(U135/VLOOKUP($C135,#REF!,4,0))*100</f>
        <v>#REF!</v>
      </c>
      <c r="V137" s="1186"/>
      <c r="W137" s="609"/>
      <c r="X137" s="609"/>
      <c r="Y137" s="608"/>
      <c r="AA137" s="621"/>
      <c r="AD137" s="33" t="str">
        <f>C135&amp;F137</f>
        <v>Romania% GDP</v>
      </c>
    </row>
    <row r="138" spans="1:30" ht="98.5" customHeight="1">
      <c r="A138" s="1268">
        <v>0</v>
      </c>
      <c r="B138" s="1268" t="s">
        <v>861</v>
      </c>
      <c r="C138" s="1256" t="s">
        <v>559</v>
      </c>
      <c r="D138" s="1253" t="s">
        <v>572</v>
      </c>
      <c r="E138" s="35"/>
      <c r="F138" s="38" t="s">
        <v>115</v>
      </c>
      <c r="G138" s="186">
        <v>1277</v>
      </c>
      <c r="H138" s="258" t="s">
        <v>84</v>
      </c>
      <c r="I138" s="1184" t="s">
        <v>645</v>
      </c>
      <c r="J138" s="258" t="s">
        <v>84</v>
      </c>
      <c r="K138" s="1193" t="s">
        <v>811</v>
      </c>
      <c r="L138" s="258"/>
      <c r="M138" s="1184" t="s">
        <v>812</v>
      </c>
      <c r="N138" s="35"/>
      <c r="O138" s="175" t="s">
        <v>115</v>
      </c>
      <c r="P138" s="496">
        <f t="shared" si="7"/>
        <v>565</v>
      </c>
      <c r="Q138" s="251">
        <v>90</v>
      </c>
      <c r="R138" s="1202" t="s">
        <v>736</v>
      </c>
      <c r="S138" s="35"/>
      <c r="T138" s="175" t="s">
        <v>115</v>
      </c>
      <c r="U138" s="251">
        <v>325</v>
      </c>
      <c r="V138" s="1184" t="s">
        <v>567</v>
      </c>
      <c r="W138" s="251">
        <v>150</v>
      </c>
      <c r="X138" s="1184" t="s">
        <v>737</v>
      </c>
      <c r="Y138" s="608"/>
      <c r="AA138" s="621"/>
      <c r="AD138" s="33" t="str">
        <f>C138&amp;F138</f>
        <v>ThailandLC bn</v>
      </c>
    </row>
    <row r="139" spans="1:30" ht="110.15" customHeight="1">
      <c r="A139" s="1268"/>
      <c r="B139" s="1268"/>
      <c r="C139" s="1256"/>
      <c r="D139" s="1253"/>
      <c r="E139" s="35"/>
      <c r="F139" s="175" t="s">
        <v>116</v>
      </c>
      <c r="G139" s="251" t="e">
        <f>G138/VLOOKUP($C138,#REF!,7,0)</f>
        <v>#REF!</v>
      </c>
      <c r="H139" s="258"/>
      <c r="I139" s="1219"/>
      <c r="J139" s="258"/>
      <c r="K139" s="1216"/>
      <c r="L139" s="258"/>
      <c r="M139" s="1185"/>
      <c r="N139" s="35"/>
      <c r="O139" s="175" t="s">
        <v>116</v>
      </c>
      <c r="P139" s="497" t="e">
        <f t="shared" si="7"/>
        <v>#REF!</v>
      </c>
      <c r="Q139" s="258" t="e">
        <f>Q138/VLOOKUP($C138,#REF!,7,0)</f>
        <v>#REF!</v>
      </c>
      <c r="R139" s="1203"/>
      <c r="S139" s="35"/>
      <c r="T139" s="175" t="s">
        <v>116</v>
      </c>
      <c r="U139" s="251" t="e">
        <f>U138/VLOOKUP($C138,#REF!,7,0)</f>
        <v>#REF!</v>
      </c>
      <c r="V139" s="1219"/>
      <c r="W139" s="258" t="e">
        <f>W138/VLOOKUP($C138,#REF!,7,0)</f>
        <v>#REF!</v>
      </c>
      <c r="X139" s="1185"/>
      <c r="Y139" s="608"/>
      <c r="AA139" s="621"/>
      <c r="AD139" s="33" t="str">
        <f>C138&amp;F139</f>
        <v>ThailandUSD bn</v>
      </c>
    </row>
    <row r="140" spans="1:30" ht="110.15" customHeight="1">
      <c r="A140" s="1268"/>
      <c r="B140" s="1268"/>
      <c r="C140" s="1257"/>
      <c r="D140" s="1254"/>
      <c r="E140" s="35"/>
      <c r="F140" s="53" t="s">
        <v>117</v>
      </c>
      <c r="G140" s="252" t="e">
        <f>(G138/VLOOKUP($C138,#REF!,4,0))*100</f>
        <v>#REF!</v>
      </c>
      <c r="H140" s="252"/>
      <c r="I140" s="1186"/>
      <c r="J140" s="252"/>
      <c r="K140" s="1197"/>
      <c r="L140" s="252"/>
      <c r="M140" s="1186"/>
      <c r="N140" s="12"/>
      <c r="O140" s="53" t="s">
        <v>117</v>
      </c>
      <c r="P140" s="499" t="e">
        <f t="shared" si="7"/>
        <v>#REF!</v>
      </c>
      <c r="Q140" s="252" t="e">
        <f>(Q138/VLOOKUP($C138,#REF!,4,0))*100</f>
        <v>#REF!</v>
      </c>
      <c r="R140" s="1204"/>
      <c r="S140" s="12"/>
      <c r="T140" s="53" t="s">
        <v>117</v>
      </c>
      <c r="U140" s="252" t="e">
        <f>(U138/VLOOKUP($C138,#REF!,4,0))*100</f>
        <v>#REF!</v>
      </c>
      <c r="V140" s="1186"/>
      <c r="W140" s="252" t="e">
        <f>(W138/VLOOKUP($C138,#REF!,4,0))*100</f>
        <v>#REF!</v>
      </c>
      <c r="X140" s="1186"/>
      <c r="Y140" s="608"/>
      <c r="AA140" s="621"/>
      <c r="AD140" s="33" t="str">
        <f>C138&amp;F140</f>
        <v>Thailand% GDP</v>
      </c>
    </row>
    <row r="141" spans="1:30" s="610" customFormat="1" ht="58" customHeight="1">
      <c r="A141" s="1268">
        <v>0</v>
      </c>
      <c r="B141" s="1268" t="s">
        <v>861</v>
      </c>
      <c r="C141" s="1282" t="s">
        <v>30</v>
      </c>
      <c r="D141" s="1266" t="s">
        <v>570</v>
      </c>
      <c r="E141" s="504"/>
      <c r="F141" s="505" t="s">
        <v>115</v>
      </c>
      <c r="G141" s="645">
        <f>H141+J141</f>
        <v>1.84</v>
      </c>
      <c r="H141" s="645">
        <v>0.33</v>
      </c>
      <c r="I141" s="1193" t="s">
        <v>792</v>
      </c>
      <c r="J141" s="631">
        <f>1.48+0.03</f>
        <v>1.51</v>
      </c>
      <c r="K141" s="1193" t="s">
        <v>793</v>
      </c>
      <c r="L141" s="645">
        <f>0.2+0.01</f>
        <v>0.21000000000000002</v>
      </c>
      <c r="M141" s="1193" t="s">
        <v>794</v>
      </c>
      <c r="N141" s="629"/>
      <c r="O141" s="175" t="s">
        <v>115</v>
      </c>
      <c r="P141" s="498">
        <f t="shared" si="7"/>
        <v>1.272</v>
      </c>
      <c r="Q141" s="276">
        <f>0.3+0.04+0.5+0.1+0.132</f>
        <v>1.0720000000000001</v>
      </c>
      <c r="R141" s="1184" t="s">
        <v>795</v>
      </c>
      <c r="S141" s="629"/>
      <c r="T141" s="175" t="s">
        <v>115</v>
      </c>
      <c r="U141" s="645">
        <v>0.2</v>
      </c>
      <c r="V141" s="1184" t="s">
        <v>614</v>
      </c>
      <c r="W141" s="607"/>
      <c r="X141" s="607"/>
      <c r="Y141" s="1184" t="s">
        <v>83</v>
      </c>
      <c r="Z141" s="629"/>
      <c r="AA141" s="607"/>
      <c r="AD141" s="33" t="str">
        <f>C141&amp;F141</f>
        <v>TunisiaLC bn</v>
      </c>
    </row>
    <row r="142" spans="1:30" s="610" customFormat="1" ht="52" customHeight="1">
      <c r="A142" s="1268"/>
      <c r="B142" s="1268"/>
      <c r="C142" s="1282"/>
      <c r="D142" s="1266"/>
      <c r="E142" s="184"/>
      <c r="F142" s="506" t="s">
        <v>116</v>
      </c>
      <c r="G142" s="258" t="e">
        <f>G141/VLOOKUP(C141,#REF!,7,0)</f>
        <v>#REF!</v>
      </c>
      <c r="H142" s="258" t="e">
        <f>H141/VLOOKUP($C141,#REF!,7,0)</f>
        <v>#REF!</v>
      </c>
      <c r="I142" s="1196"/>
      <c r="J142" s="258" t="e">
        <f>J141/VLOOKUP($C141,#REF!,7,0)</f>
        <v>#REF!</v>
      </c>
      <c r="K142" s="1216"/>
      <c r="L142" s="258" t="e">
        <f>L141/VLOOKUP($C141,#REF!,7,0)</f>
        <v>#REF!</v>
      </c>
      <c r="M142" s="1216"/>
      <c r="O142" s="175" t="s">
        <v>116</v>
      </c>
      <c r="P142" s="412" t="e">
        <f t="shared" si="7"/>
        <v>#REF!</v>
      </c>
      <c r="Q142" s="269" t="e">
        <f>Q141/VLOOKUP(C141,#REF!,7,0)</f>
        <v>#REF!</v>
      </c>
      <c r="R142" s="1185"/>
      <c r="T142" s="175" t="s">
        <v>116</v>
      </c>
      <c r="U142" s="258" t="e">
        <f>U141/VLOOKUP(C141,#REF!,7,0)</f>
        <v>#REF!</v>
      </c>
      <c r="V142" s="1185"/>
      <c r="W142" s="608"/>
      <c r="X142" s="608"/>
      <c r="Y142" s="1185"/>
      <c r="AA142" s="608"/>
      <c r="AD142" s="33" t="str">
        <f>C141&amp;F142</f>
        <v>TunisiaUSD bn</v>
      </c>
    </row>
    <row r="143" spans="1:30" ht="108.65" customHeight="1">
      <c r="A143" s="1268"/>
      <c r="B143" s="1268"/>
      <c r="C143" s="1283"/>
      <c r="D143" s="1261"/>
      <c r="E143" s="507"/>
      <c r="F143" s="508" t="s">
        <v>117</v>
      </c>
      <c r="G143" s="252" t="e">
        <f>(G141/VLOOKUP(C141,#REF!,4,0))*100</f>
        <v>#REF!</v>
      </c>
      <c r="H143" s="252" t="e">
        <f>(H141/VLOOKUP($C141,#REF!,4,0))*100</f>
        <v>#REF!</v>
      </c>
      <c r="I143" s="1197"/>
      <c r="J143" s="252" t="e">
        <f>(J141/VLOOKUP($C141,#REF!,4,0))*100</f>
        <v>#REF!</v>
      </c>
      <c r="K143" s="1197"/>
      <c r="L143" s="252" t="e">
        <f>(L141/VLOOKUP($C141,#REF!,4,0))*100</f>
        <v>#REF!</v>
      </c>
      <c r="M143" s="1197"/>
      <c r="N143" s="12"/>
      <c r="O143" s="53" t="s">
        <v>117</v>
      </c>
      <c r="P143" s="499" t="e">
        <f t="shared" si="7"/>
        <v>#REF!</v>
      </c>
      <c r="Q143" s="267" t="e">
        <f>(Q141/VLOOKUP(C141,#REF!,4,0))*100</f>
        <v>#REF!</v>
      </c>
      <c r="R143" s="1186"/>
      <c r="S143" s="12"/>
      <c r="T143" s="53" t="s">
        <v>117</v>
      </c>
      <c r="U143" s="252" t="e">
        <f>(U141/VLOOKUP(C141,#REF!,4,0))*100</f>
        <v>#REF!</v>
      </c>
      <c r="V143" s="1186"/>
      <c r="W143" s="609"/>
      <c r="X143" s="609"/>
      <c r="Y143" s="1186"/>
      <c r="Z143" s="52"/>
      <c r="AA143" s="622"/>
      <c r="AD143" s="33" t="str">
        <f>C141&amp;F143</f>
        <v>Tunisia% GDP</v>
      </c>
    </row>
    <row r="144" spans="1:30" s="610" customFormat="1" ht="60" customHeight="1">
      <c r="A144" s="1268">
        <v>0</v>
      </c>
      <c r="B144" s="1268" t="s">
        <v>861</v>
      </c>
      <c r="C144" s="1256" t="s">
        <v>56</v>
      </c>
      <c r="D144" s="1266" t="s">
        <v>570</v>
      </c>
      <c r="E144" s="629"/>
      <c r="F144" s="38" t="s">
        <v>115</v>
      </c>
      <c r="G144" s="255">
        <v>25.4</v>
      </c>
      <c r="H144" s="617" t="s">
        <v>84</v>
      </c>
      <c r="I144" s="1184" t="s">
        <v>646</v>
      </c>
      <c r="J144" s="258" t="s">
        <v>84</v>
      </c>
      <c r="K144" s="1184" t="s">
        <v>747</v>
      </c>
      <c r="L144" s="607"/>
      <c r="M144" s="607"/>
      <c r="N144" s="629"/>
      <c r="O144" s="175" t="s">
        <v>115</v>
      </c>
      <c r="P144" s="79" t="s">
        <v>84</v>
      </c>
      <c r="Q144" s="79" t="s">
        <v>84</v>
      </c>
      <c r="R144" s="1184" t="s">
        <v>308</v>
      </c>
      <c r="S144" s="629"/>
      <c r="T144" s="175" t="s">
        <v>115</v>
      </c>
      <c r="U144" s="79" t="s">
        <v>84</v>
      </c>
      <c r="V144" s="1184" t="s">
        <v>343</v>
      </c>
      <c r="W144" s="79" t="s">
        <v>84</v>
      </c>
      <c r="X144" s="1184" t="s">
        <v>750</v>
      </c>
      <c r="Y144" s="607"/>
      <c r="Z144" s="629"/>
      <c r="AA144" s="620" t="s">
        <v>51</v>
      </c>
      <c r="AD144" s="33" t="str">
        <f>C144&amp;F144</f>
        <v>United Arab EmiratesLC bn</v>
      </c>
    </row>
    <row r="145" spans="1:30" s="610" customFormat="1" ht="60" customHeight="1">
      <c r="A145" s="1268"/>
      <c r="B145" s="1268"/>
      <c r="C145" s="1256"/>
      <c r="D145" s="1266"/>
      <c r="F145" s="175" t="s">
        <v>116</v>
      </c>
      <c r="G145" s="258" t="e">
        <f>G144/VLOOKUP(C144,#REF!,7,0)</f>
        <v>#REF!</v>
      </c>
      <c r="H145" s="615"/>
      <c r="I145" s="1185"/>
      <c r="J145" s="618"/>
      <c r="K145" s="1185"/>
      <c r="L145" s="608"/>
      <c r="M145" s="608"/>
      <c r="O145" s="175" t="s">
        <v>116</v>
      </c>
      <c r="P145" s="608"/>
      <c r="Q145" s="277"/>
      <c r="R145" s="1185"/>
      <c r="T145" s="175" t="s">
        <v>116</v>
      </c>
      <c r="U145" s="646"/>
      <c r="V145" s="1185"/>
      <c r="W145" s="608"/>
      <c r="X145" s="1185"/>
      <c r="Y145" s="608"/>
      <c r="AA145" s="621" t="s">
        <v>52</v>
      </c>
      <c r="AD145" s="33" t="str">
        <f>C144&amp;F145</f>
        <v>United Arab EmiratesUSD bn</v>
      </c>
    </row>
    <row r="146" spans="1:30" ht="60" customHeight="1">
      <c r="A146" s="1268"/>
      <c r="B146" s="1268"/>
      <c r="C146" s="1257"/>
      <c r="D146" s="1261"/>
      <c r="E146" s="12"/>
      <c r="F146" s="53" t="s">
        <v>117</v>
      </c>
      <c r="G146" s="252" t="e">
        <f>(G144/VLOOKUP(C144,#REF!,4,0))*100</f>
        <v>#REF!</v>
      </c>
      <c r="H146" s="97"/>
      <c r="I146" s="1186"/>
      <c r="J146" s="633"/>
      <c r="K146" s="1186"/>
      <c r="L146" s="609"/>
      <c r="M146" s="609"/>
      <c r="N146" s="12"/>
      <c r="O146" s="53" t="s">
        <v>117</v>
      </c>
      <c r="P146" s="643"/>
      <c r="Q146" s="267"/>
      <c r="R146" s="1186"/>
      <c r="S146" s="12"/>
      <c r="T146" s="53" t="s">
        <v>117</v>
      </c>
      <c r="U146" s="252"/>
      <c r="V146" s="1186"/>
      <c r="W146" s="609"/>
      <c r="X146" s="1186"/>
      <c r="Y146" s="609"/>
      <c r="Z146" s="52"/>
      <c r="AA146" s="622"/>
      <c r="AD146" s="33" t="str">
        <f>C144&amp;F146</f>
        <v>United Arab Emirates% GDP</v>
      </c>
    </row>
    <row r="147" spans="1:30" s="610" customFormat="1" ht="50.15" customHeight="1">
      <c r="A147" s="1268">
        <v>0</v>
      </c>
      <c r="B147" s="1268" t="s">
        <v>862</v>
      </c>
      <c r="C147" s="1256" t="s">
        <v>37</v>
      </c>
      <c r="D147" s="1260" t="s">
        <v>571</v>
      </c>
      <c r="E147" s="184"/>
      <c r="F147" s="506" t="s">
        <v>115</v>
      </c>
      <c r="G147" s="255">
        <v>295</v>
      </c>
      <c r="H147" s="255">
        <v>20.2</v>
      </c>
      <c r="I147" s="1190" t="s">
        <v>782</v>
      </c>
      <c r="J147" s="255">
        <v>275</v>
      </c>
      <c r="K147" s="1190" t="s">
        <v>822</v>
      </c>
      <c r="L147" s="607"/>
      <c r="M147" s="607"/>
      <c r="N147" s="629"/>
      <c r="O147" s="38" t="s">
        <v>115</v>
      </c>
      <c r="P147" s="498"/>
      <c r="Q147" s="274"/>
      <c r="R147" s="1184"/>
      <c r="S147" s="629"/>
      <c r="T147" s="38" t="s">
        <v>115</v>
      </c>
      <c r="U147" s="645"/>
      <c r="V147" s="607"/>
      <c r="W147" s="607"/>
      <c r="X147" s="607"/>
      <c r="Y147" s="607"/>
      <c r="Z147" s="629"/>
      <c r="AA147" s="607"/>
      <c r="AD147" s="33" t="str">
        <f>C147&amp;F147</f>
        <v>BangladeshLC bn</v>
      </c>
    </row>
    <row r="148" spans="1:30" s="37" customFormat="1" ht="57" customHeight="1">
      <c r="A148" s="1268"/>
      <c r="B148" s="1268"/>
      <c r="C148" s="1256"/>
      <c r="D148" s="1260"/>
      <c r="E148" s="184"/>
      <c r="F148" s="506" t="s">
        <v>116</v>
      </c>
      <c r="G148" s="258" t="e">
        <f>G147/VLOOKUP(C147,#REF!,7,0)</f>
        <v>#REF!</v>
      </c>
      <c r="H148" s="258" t="e">
        <f>H147/VLOOKUP($C147,#REF!,7,0)</f>
        <v>#REF!</v>
      </c>
      <c r="I148" s="1238"/>
      <c r="J148" s="258" t="e">
        <f>J147/VLOOKUP($C147,#REF!,7,0)</f>
        <v>#REF!</v>
      </c>
      <c r="K148" s="1238"/>
      <c r="L148" s="608"/>
      <c r="M148" s="608"/>
      <c r="N148" s="610"/>
      <c r="O148" s="175" t="s">
        <v>116</v>
      </c>
      <c r="P148" s="412"/>
      <c r="Q148" s="269"/>
      <c r="R148" s="1185"/>
      <c r="S148" s="610"/>
      <c r="T148" s="175" t="s">
        <v>116</v>
      </c>
      <c r="U148" s="646"/>
      <c r="V148" s="608"/>
      <c r="W148" s="608"/>
      <c r="X148" s="608"/>
      <c r="Y148" s="608"/>
      <c r="Z148" s="610"/>
      <c r="AA148" s="608"/>
      <c r="AD148" s="33" t="str">
        <f>C147&amp;F148</f>
        <v>BangladeshUSD bn</v>
      </c>
    </row>
    <row r="149" spans="1:30" ht="60.65" customHeight="1">
      <c r="A149" s="1268"/>
      <c r="B149" s="1268"/>
      <c r="C149" s="1257"/>
      <c r="D149" s="1261"/>
      <c r="E149" s="507"/>
      <c r="F149" s="508" t="s">
        <v>117</v>
      </c>
      <c r="G149" s="252" t="e">
        <f>(G147/VLOOKUP(C147,#REF!,4,0))*100</f>
        <v>#REF!</v>
      </c>
      <c r="H149" s="252" t="e">
        <f>(H147/VLOOKUP($C147,#REF!,4,0))*100</f>
        <v>#REF!</v>
      </c>
      <c r="I149" s="1192"/>
      <c r="J149" s="252" t="e">
        <f>(J147/VLOOKUP($C147,#REF!,4,0))*100</f>
        <v>#REF!</v>
      </c>
      <c r="K149" s="1192"/>
      <c r="L149" s="609"/>
      <c r="M149" s="609"/>
      <c r="N149" s="12"/>
      <c r="O149" s="53" t="s">
        <v>117</v>
      </c>
      <c r="P149" s="499"/>
      <c r="Q149" s="267"/>
      <c r="R149" s="1186"/>
      <c r="S149" s="12"/>
      <c r="T149" s="53" t="s">
        <v>117</v>
      </c>
      <c r="U149" s="252"/>
      <c r="V149" s="609"/>
      <c r="W149" s="609"/>
      <c r="X149" s="609"/>
      <c r="Y149" s="608"/>
      <c r="AA149" s="621"/>
      <c r="AD149" s="33" t="str">
        <f>C147&amp;F149</f>
        <v>Bangladesh% GDP</v>
      </c>
    </row>
    <row r="150" spans="1:30" ht="50.15" customHeight="1">
      <c r="A150" s="1268">
        <v>0</v>
      </c>
      <c r="B150" s="1268" t="s">
        <v>862</v>
      </c>
      <c r="C150" s="1256" t="s">
        <v>548</v>
      </c>
      <c r="D150" s="1266" t="s">
        <v>571</v>
      </c>
      <c r="E150" s="35"/>
      <c r="F150" s="175" t="s">
        <v>115</v>
      </c>
      <c r="G150" s="510">
        <f>H150+J150</f>
        <v>60.8</v>
      </c>
      <c r="H150" s="250">
        <v>19.8</v>
      </c>
      <c r="I150" s="1193" t="s">
        <v>647</v>
      </c>
      <c r="J150" s="250">
        <v>41</v>
      </c>
      <c r="K150" s="1193" t="s">
        <v>748</v>
      </c>
      <c r="L150" s="608"/>
      <c r="M150" s="608"/>
      <c r="N150" s="35"/>
      <c r="O150" s="38" t="s">
        <v>115</v>
      </c>
      <c r="P150" s="496">
        <f t="shared" ref="P150:P161" si="8">Q150+U150+W150</f>
        <v>21</v>
      </c>
      <c r="Q150" s="266">
        <v>21</v>
      </c>
      <c r="R150" s="1184" t="s">
        <v>751</v>
      </c>
      <c r="S150" s="35"/>
      <c r="T150" s="38" t="s">
        <v>115</v>
      </c>
      <c r="U150" s="258"/>
      <c r="V150" s="608"/>
      <c r="W150" s="608"/>
      <c r="X150" s="608"/>
      <c r="Y150" s="608"/>
      <c r="AA150" s="621"/>
      <c r="AD150" s="33" t="str">
        <f>C150&amp;F150</f>
        <v>EthiopiaLC bn</v>
      </c>
    </row>
    <row r="151" spans="1:30" ht="50.15" customHeight="1">
      <c r="A151" s="1268"/>
      <c r="B151" s="1268"/>
      <c r="C151" s="1256"/>
      <c r="D151" s="1266"/>
      <c r="E151" s="35"/>
      <c r="F151" s="175" t="s">
        <v>116</v>
      </c>
      <c r="G151" s="258" t="e">
        <f>G150/VLOOKUP(C150,#REF!,7,0)</f>
        <v>#REF!</v>
      </c>
      <c r="H151" s="258" t="e">
        <f>H150/VLOOKUP($C150,#REF!,7,0)</f>
        <v>#REF!</v>
      </c>
      <c r="I151" s="1216"/>
      <c r="J151" s="258" t="e">
        <f>J150/VLOOKUP($C150,#REF!,7,0)</f>
        <v>#REF!</v>
      </c>
      <c r="K151" s="1216"/>
      <c r="L151" s="258"/>
      <c r="M151" s="608"/>
      <c r="N151" s="35"/>
      <c r="O151" s="175" t="s">
        <v>116</v>
      </c>
      <c r="P151" s="412" t="e">
        <f t="shared" si="8"/>
        <v>#REF!</v>
      </c>
      <c r="Q151" s="269" t="e">
        <f>Q150/VLOOKUP(C150,#REF!,7,0)</f>
        <v>#REF!</v>
      </c>
      <c r="R151" s="1185"/>
      <c r="S151" s="35"/>
      <c r="T151" s="175" t="s">
        <v>116</v>
      </c>
      <c r="U151" s="258"/>
      <c r="V151" s="608"/>
      <c r="W151" s="608"/>
      <c r="X151" s="608"/>
      <c r="Y151" s="608"/>
      <c r="AA151" s="621"/>
      <c r="AD151" s="33" t="str">
        <f>C150&amp;F151</f>
        <v>EthiopiaUSD bn</v>
      </c>
    </row>
    <row r="152" spans="1:30" ht="58.5" customHeight="1">
      <c r="A152" s="1268"/>
      <c r="B152" s="1268"/>
      <c r="C152" s="1257"/>
      <c r="D152" s="1261"/>
      <c r="E152" s="12"/>
      <c r="F152" s="53" t="s">
        <v>117</v>
      </c>
      <c r="G152" s="252" t="e">
        <f>(G150/VLOOKUP(C150,#REF!,4,0))*100</f>
        <v>#REF!</v>
      </c>
      <c r="H152" s="252" t="e">
        <f>(H150/VLOOKUP($C150,#REF!,4,0))*100</f>
        <v>#REF!</v>
      </c>
      <c r="I152" s="1197"/>
      <c r="J152" s="252" t="e">
        <f>(J150/VLOOKUP($C150,#REF!,4,0))*100</f>
        <v>#REF!</v>
      </c>
      <c r="K152" s="1197"/>
      <c r="L152" s="252"/>
      <c r="M152" s="609"/>
      <c r="N152" s="12"/>
      <c r="O152" s="53" t="s">
        <v>117</v>
      </c>
      <c r="P152" s="499" t="e">
        <f t="shared" si="8"/>
        <v>#REF!</v>
      </c>
      <c r="Q152" s="267" t="e">
        <f>(Q150/VLOOKUP(C150,#REF!,4,0))*100</f>
        <v>#REF!</v>
      </c>
      <c r="R152" s="1186"/>
      <c r="S152" s="12"/>
      <c r="T152" s="53" t="s">
        <v>117</v>
      </c>
      <c r="U152" s="252"/>
      <c r="V152" s="609"/>
      <c r="W152" s="609"/>
      <c r="X152" s="609"/>
      <c r="Y152" s="608"/>
      <c r="AA152" s="621"/>
      <c r="AD152" s="33" t="str">
        <f>C150&amp;F152</f>
        <v>Ethiopia% GDP</v>
      </c>
    </row>
    <row r="153" spans="1:30" ht="50.15" customHeight="1">
      <c r="A153" s="1268">
        <v>0</v>
      </c>
      <c r="B153" s="1268" t="s">
        <v>862</v>
      </c>
      <c r="C153" s="1256" t="s">
        <v>550</v>
      </c>
      <c r="D153" s="1266" t="s">
        <v>571</v>
      </c>
      <c r="E153" s="35"/>
      <c r="F153" s="175" t="s">
        <v>115</v>
      </c>
      <c r="G153" s="502">
        <v>1.8</v>
      </c>
      <c r="H153" s="503">
        <f>0.572</f>
        <v>0.57199999999999995</v>
      </c>
      <c r="I153" s="1193" t="s">
        <v>648</v>
      </c>
      <c r="J153" s="502">
        <f>G153-H153</f>
        <v>1.2280000000000002</v>
      </c>
      <c r="K153" s="1184" t="s">
        <v>788</v>
      </c>
      <c r="L153" s="608"/>
      <c r="M153" s="1193" t="s">
        <v>621</v>
      </c>
      <c r="N153" s="35"/>
      <c r="O153" s="38" t="s">
        <v>115</v>
      </c>
      <c r="P153" s="498">
        <f t="shared" si="8"/>
        <v>1.2</v>
      </c>
      <c r="Q153" s="518">
        <v>1.2</v>
      </c>
      <c r="R153" s="1190" t="s">
        <v>752</v>
      </c>
      <c r="S153" s="35"/>
      <c r="T153" s="38" t="s">
        <v>115</v>
      </c>
      <c r="U153" s="258"/>
      <c r="V153" s="608"/>
      <c r="W153" s="608"/>
      <c r="X153" s="608"/>
      <c r="Y153" s="608"/>
      <c r="AA153" s="621"/>
      <c r="AD153" s="33" t="str">
        <f>C153&amp;F153</f>
        <v>GhanaLC bn</v>
      </c>
    </row>
    <row r="154" spans="1:30" ht="40.5" customHeight="1">
      <c r="A154" s="1268"/>
      <c r="B154" s="1268"/>
      <c r="C154" s="1256"/>
      <c r="D154" s="1266"/>
      <c r="E154" s="35"/>
      <c r="F154" s="175" t="s">
        <v>116</v>
      </c>
      <c r="G154" s="258" t="e">
        <f>G153/VLOOKUP(C153,#REF!,7,0)</f>
        <v>#REF!</v>
      </c>
      <c r="H154" s="258" t="e">
        <f>H153/VLOOKUP($C153,#REF!,7,0)</f>
        <v>#REF!</v>
      </c>
      <c r="I154" s="1216"/>
      <c r="J154" s="258" t="e">
        <f>J153/VLOOKUP($C153,#REF!,7,0)</f>
        <v>#REF!</v>
      </c>
      <c r="K154" s="1219"/>
      <c r="L154" s="258"/>
      <c r="M154" s="1216"/>
      <c r="N154" s="35"/>
      <c r="O154" s="175" t="s">
        <v>116</v>
      </c>
      <c r="P154" s="412" t="e">
        <f t="shared" si="8"/>
        <v>#REF!</v>
      </c>
      <c r="Q154" s="258" t="e">
        <f>Q153/VLOOKUP($C153,#REF!,7,0)</f>
        <v>#REF!</v>
      </c>
      <c r="R154" s="1238"/>
      <c r="S154" s="35"/>
      <c r="T154" s="175" t="s">
        <v>116</v>
      </c>
      <c r="U154" s="258"/>
      <c r="V154" s="608"/>
      <c r="W154" s="608"/>
      <c r="X154" s="608"/>
      <c r="Y154" s="608"/>
      <c r="AA154" s="621"/>
      <c r="AD154" s="33" t="str">
        <f>C153&amp;F154</f>
        <v>GhanaUSD bn</v>
      </c>
    </row>
    <row r="155" spans="1:30" ht="53.15" customHeight="1">
      <c r="A155" s="1268"/>
      <c r="B155" s="1268"/>
      <c r="C155" s="1257"/>
      <c r="D155" s="1261"/>
      <c r="E155" s="12"/>
      <c r="F155" s="53" t="s">
        <v>117</v>
      </c>
      <c r="G155" s="252" t="e">
        <f>(G153/VLOOKUP(C153,#REF!,4,0))*100</f>
        <v>#REF!</v>
      </c>
      <c r="H155" s="252" t="e">
        <f>(H153/VLOOKUP($C153,#REF!,4,0))*100</f>
        <v>#REF!</v>
      </c>
      <c r="I155" s="1197"/>
      <c r="J155" s="252" t="e">
        <f>(J153/VLOOKUP($C153,#REF!,4,0))*100</f>
        <v>#REF!</v>
      </c>
      <c r="K155" s="1186"/>
      <c r="L155" s="252"/>
      <c r="M155" s="1197"/>
      <c r="N155" s="12"/>
      <c r="O155" s="53" t="s">
        <v>117</v>
      </c>
      <c r="P155" s="499" t="e">
        <f t="shared" si="8"/>
        <v>#REF!</v>
      </c>
      <c r="Q155" s="252" t="e">
        <f>(Q153/VLOOKUP($C153,#REF!,4,0))*100</f>
        <v>#REF!</v>
      </c>
      <c r="R155" s="1192"/>
      <c r="S155" s="12"/>
      <c r="T155" s="53" t="s">
        <v>117</v>
      </c>
      <c r="U155" s="252"/>
      <c r="V155" s="609"/>
      <c r="W155" s="609"/>
      <c r="X155" s="609"/>
      <c r="Y155" s="608"/>
      <c r="AA155" s="621"/>
      <c r="AD155" s="33" t="str">
        <f>C153&amp;F155</f>
        <v>Ghana% GDP</v>
      </c>
    </row>
    <row r="156" spans="1:30" ht="32.5" customHeight="1">
      <c r="A156" s="1268">
        <v>0</v>
      </c>
      <c r="B156" s="1268" t="s">
        <v>862</v>
      </c>
      <c r="C156" s="1256" t="s">
        <v>566</v>
      </c>
      <c r="D156" s="1252" t="s">
        <v>571</v>
      </c>
      <c r="E156" s="35"/>
      <c r="F156" s="175" t="s">
        <v>115</v>
      </c>
      <c r="G156" s="251">
        <v>16.2</v>
      </c>
      <c r="H156" s="121">
        <v>10.7</v>
      </c>
      <c r="I156" s="1270" t="s">
        <v>649</v>
      </c>
      <c r="J156" s="258">
        <v>5.5</v>
      </c>
      <c r="K156" s="1190" t="s">
        <v>650</v>
      </c>
      <c r="L156" s="608"/>
      <c r="M156" s="608"/>
      <c r="N156" s="35"/>
      <c r="O156" s="38" t="s">
        <v>115</v>
      </c>
      <c r="P156" s="496">
        <f t="shared" si="8"/>
        <v>17.7</v>
      </c>
      <c r="Q156" s="251">
        <v>17.7</v>
      </c>
      <c r="R156" s="1184" t="s">
        <v>813</v>
      </c>
      <c r="S156" s="35"/>
      <c r="T156" s="38" t="s">
        <v>115</v>
      </c>
      <c r="U156" s="258"/>
      <c r="V156" s="608"/>
      <c r="W156" s="608"/>
      <c r="X156" s="608"/>
      <c r="Y156" s="608"/>
      <c r="AA156" s="621"/>
      <c r="AD156" s="33" t="str">
        <f>C156&amp;F156</f>
        <v>Guinea-BissauLC bn</v>
      </c>
    </row>
    <row r="157" spans="1:30" ht="38.5" customHeight="1">
      <c r="A157" s="1268"/>
      <c r="B157" s="1268"/>
      <c r="C157" s="1256"/>
      <c r="D157" s="1253"/>
      <c r="E157" s="35"/>
      <c r="F157" s="175" t="s">
        <v>116</v>
      </c>
      <c r="G157" s="258" t="e">
        <f>G156/VLOOKUP($C156,#REF!,7,0)</f>
        <v>#REF!</v>
      </c>
      <c r="H157" s="258" t="e">
        <f>H156/VLOOKUP($C156,#REF!,7,0)</f>
        <v>#REF!</v>
      </c>
      <c r="I157" s="1318"/>
      <c r="J157" s="258" t="e">
        <f>J156/VLOOKUP($C156,#REF!,7,0)</f>
        <v>#REF!</v>
      </c>
      <c r="K157" s="1185"/>
      <c r="L157" s="258"/>
      <c r="M157" s="608"/>
      <c r="N157" s="35"/>
      <c r="O157" s="175" t="s">
        <v>116</v>
      </c>
      <c r="P157" s="412" t="e">
        <f t="shared" si="8"/>
        <v>#REF!</v>
      </c>
      <c r="Q157" s="258" t="e">
        <f>Q156/VLOOKUP($C156,#REF!,7,0)</f>
        <v>#REF!</v>
      </c>
      <c r="R157" s="1219"/>
      <c r="S157" s="35"/>
      <c r="T157" s="175" t="s">
        <v>116</v>
      </c>
      <c r="U157" s="258"/>
      <c r="V157" s="608"/>
      <c r="W157" s="608"/>
      <c r="X157" s="608"/>
      <c r="Y157" s="608"/>
      <c r="AA157" s="621"/>
      <c r="AD157" s="33" t="str">
        <f>C156&amp;F157</f>
        <v>Guinea-BissauUSD bn</v>
      </c>
    </row>
    <row r="158" spans="1:30" ht="40" customHeight="1">
      <c r="A158" s="1268"/>
      <c r="B158" s="1268"/>
      <c r="C158" s="1257"/>
      <c r="D158" s="1254"/>
      <c r="E158" s="35"/>
      <c r="F158" s="175" t="s">
        <v>117</v>
      </c>
      <c r="G158" s="258" t="e">
        <f>(G156/VLOOKUP($C156,#REF!,4,0))*100</f>
        <v>#REF!</v>
      </c>
      <c r="H158" s="258" t="e">
        <f>(H156/VLOOKUP($C156,#REF!,4,0))*100</f>
        <v>#REF!</v>
      </c>
      <c r="I158" s="1319"/>
      <c r="J158" s="258" t="e">
        <f>(J156/VLOOKUP($C156,#REF!,4,0))*100</f>
        <v>#REF!</v>
      </c>
      <c r="K158" s="1186"/>
      <c r="L158" s="258"/>
      <c r="M158" s="608"/>
      <c r="N158" s="35"/>
      <c r="O158" s="53" t="s">
        <v>117</v>
      </c>
      <c r="P158" s="499" t="e">
        <f t="shared" si="8"/>
        <v>#REF!</v>
      </c>
      <c r="Q158" s="258" t="e">
        <f>(Q156/VLOOKUP($C156,#REF!,4,0))*100</f>
        <v>#REF!</v>
      </c>
      <c r="R158" s="1186"/>
      <c r="S158" s="35"/>
      <c r="T158" s="53" t="s">
        <v>117</v>
      </c>
      <c r="U158" s="258"/>
      <c r="V158" s="608"/>
      <c r="W158" s="608"/>
      <c r="X158" s="608"/>
      <c r="Y158" s="608"/>
      <c r="AA158" s="621"/>
      <c r="AD158" s="33" t="str">
        <f>C156&amp;F158</f>
        <v>Guinea-Bissau% GDP</v>
      </c>
    </row>
    <row r="159" spans="1:30" s="629" customFormat="1" ht="36" customHeight="1">
      <c r="A159" s="1268">
        <v>0</v>
      </c>
      <c r="B159" s="1268" t="s">
        <v>862</v>
      </c>
      <c r="C159" s="1256" t="s">
        <v>38</v>
      </c>
      <c r="D159" s="1253" t="s">
        <v>571</v>
      </c>
      <c r="E159" s="244"/>
      <c r="F159" s="38" t="s">
        <v>115</v>
      </c>
      <c r="G159" s="255">
        <f>H159+J159</f>
        <v>13.6</v>
      </c>
      <c r="H159" s="617">
        <v>5.6</v>
      </c>
      <c r="I159" s="1220" t="s">
        <v>651</v>
      </c>
      <c r="J159" s="645">
        <v>8</v>
      </c>
      <c r="K159" s="1184" t="s">
        <v>749</v>
      </c>
      <c r="L159" s="607"/>
      <c r="M159" s="1184" t="s">
        <v>652</v>
      </c>
      <c r="N159" s="244"/>
      <c r="O159" s="38" t="s">
        <v>115</v>
      </c>
      <c r="P159" s="496">
        <f t="shared" si="8"/>
        <v>12.475</v>
      </c>
      <c r="Q159" s="276"/>
      <c r="R159" s="607"/>
      <c r="S159" s="244"/>
      <c r="T159" s="38" t="s">
        <v>115</v>
      </c>
      <c r="U159" s="631">
        <v>6.875</v>
      </c>
      <c r="V159" s="1184" t="s">
        <v>753</v>
      </c>
      <c r="W159" s="617">
        <v>5.6</v>
      </c>
      <c r="X159" s="1184" t="s">
        <v>754</v>
      </c>
      <c r="Y159" s="607"/>
      <c r="Z159" s="14"/>
      <c r="AA159" s="607"/>
      <c r="AD159" s="33" t="str">
        <f>C159&amp;F159</f>
        <v>HondurasLC bn</v>
      </c>
    </row>
    <row r="160" spans="1:30" ht="40" customHeight="1">
      <c r="A160" s="1268"/>
      <c r="B160" s="1268"/>
      <c r="C160" s="1256"/>
      <c r="D160" s="1253"/>
      <c r="E160" s="35"/>
      <c r="F160" s="175" t="s">
        <v>116</v>
      </c>
      <c r="G160" s="258" t="e">
        <f>G159/#REF!</f>
        <v>#REF!</v>
      </c>
      <c r="H160" s="258" t="e">
        <f>H159/VLOOKUP($C159,#REF!,7,0)</f>
        <v>#REF!</v>
      </c>
      <c r="I160" s="1287"/>
      <c r="J160" s="258" t="e">
        <f>J159/VLOOKUP($C159,#REF!,7,0)</f>
        <v>#REF!</v>
      </c>
      <c r="K160" s="1219"/>
      <c r="L160" s="608"/>
      <c r="M160" s="1219"/>
      <c r="N160" s="35"/>
      <c r="O160" s="175" t="s">
        <v>116</v>
      </c>
      <c r="P160" s="412" t="e">
        <f t="shared" si="8"/>
        <v>#REF!</v>
      </c>
      <c r="Q160" s="269"/>
      <c r="R160" s="608"/>
      <c r="S160" s="35"/>
      <c r="T160" s="175" t="s">
        <v>116</v>
      </c>
      <c r="U160" s="258" t="e">
        <f>U159/VLOOKUP($C159,#REF!,7,0)</f>
        <v>#REF!</v>
      </c>
      <c r="V160" s="1219"/>
      <c r="W160" s="258" t="e">
        <f>W159/VLOOKUP($C159,#REF!,7,0)</f>
        <v>#REF!</v>
      </c>
      <c r="X160" s="1219"/>
      <c r="Y160" s="608"/>
      <c r="AA160" s="621"/>
      <c r="AD160" s="33" t="str">
        <f>C159&amp;F160</f>
        <v>HondurasUSD bn</v>
      </c>
    </row>
    <row r="161" spans="1:30" ht="40" customHeight="1">
      <c r="A161" s="1268"/>
      <c r="B161" s="1268"/>
      <c r="C161" s="1257"/>
      <c r="D161" s="1254"/>
      <c r="E161" s="12"/>
      <c r="F161" s="53" t="s">
        <v>117</v>
      </c>
      <c r="G161" s="252" t="e">
        <f>G159/#REF!*100</f>
        <v>#REF!</v>
      </c>
      <c r="H161" s="252" t="e">
        <f>(H159/VLOOKUP($C159,#REF!,4,0))*100</f>
        <v>#REF!</v>
      </c>
      <c r="I161" s="1222"/>
      <c r="J161" s="252" t="e">
        <f>(J159/VLOOKUP($C159,#REF!,4,0))*100</f>
        <v>#REF!</v>
      </c>
      <c r="K161" s="1186"/>
      <c r="L161" s="609"/>
      <c r="M161" s="1186"/>
      <c r="N161" s="12"/>
      <c r="O161" s="53" t="s">
        <v>117</v>
      </c>
      <c r="P161" s="499" t="e">
        <f t="shared" si="8"/>
        <v>#REF!</v>
      </c>
      <c r="Q161" s="267"/>
      <c r="R161" s="609"/>
      <c r="S161" s="12"/>
      <c r="T161" s="53" t="s">
        <v>117</v>
      </c>
      <c r="U161" s="252" t="e">
        <f>(U159/VLOOKUP($C159,#REF!,4,0))*100</f>
        <v>#REF!</v>
      </c>
      <c r="V161" s="1186"/>
      <c r="W161" s="252" t="e">
        <f>(W159/VLOOKUP($C159,#REF!,4,0))*100</f>
        <v>#REF!</v>
      </c>
      <c r="X161" s="1186"/>
      <c r="Y161" s="609"/>
      <c r="Z161" s="52"/>
      <c r="AA161" s="622"/>
      <c r="AD161" s="33" t="str">
        <f>C159&amp;F161</f>
        <v>Honduras% GDP</v>
      </c>
    </row>
    <row r="162" spans="1:30" ht="53.15" customHeight="1">
      <c r="A162" s="1268">
        <v>0</v>
      </c>
      <c r="B162" s="1268" t="s">
        <v>862</v>
      </c>
      <c r="C162" s="1256" t="s">
        <v>552</v>
      </c>
      <c r="D162" s="1266" t="s">
        <v>571</v>
      </c>
      <c r="E162" s="35"/>
      <c r="F162" s="38" t="s">
        <v>115</v>
      </c>
      <c r="G162" s="510">
        <f>80-L162</f>
        <v>57</v>
      </c>
      <c r="H162" s="502">
        <v>5.9</v>
      </c>
      <c r="I162" s="1193" t="s">
        <v>653</v>
      </c>
      <c r="J162" s="250">
        <f>11.1+40</f>
        <v>51.1</v>
      </c>
      <c r="K162" s="1193" t="s">
        <v>755</v>
      </c>
      <c r="L162" s="618">
        <v>23</v>
      </c>
      <c r="M162" s="1193" t="s">
        <v>789</v>
      </c>
      <c r="N162" s="35"/>
      <c r="O162" s="38" t="s">
        <v>115</v>
      </c>
      <c r="P162" s="498"/>
      <c r="Q162" s="269"/>
      <c r="R162" s="608"/>
      <c r="S162" s="35"/>
      <c r="T162" s="38" t="s">
        <v>115</v>
      </c>
      <c r="U162" s="258"/>
      <c r="V162" s="608"/>
      <c r="W162" s="608"/>
      <c r="X162" s="608"/>
      <c r="Y162" s="608"/>
      <c r="AA162" s="621"/>
      <c r="AD162" s="33" t="str">
        <f>C162&amp;F162</f>
        <v>KenyaLC bn</v>
      </c>
    </row>
    <row r="163" spans="1:30" ht="46.5" customHeight="1">
      <c r="A163" s="1268"/>
      <c r="B163" s="1268"/>
      <c r="C163" s="1256"/>
      <c r="D163" s="1266"/>
      <c r="E163" s="35"/>
      <c r="F163" s="175" t="s">
        <v>116</v>
      </c>
      <c r="G163" s="258" t="e">
        <f>G162/VLOOKUP($C162,#REF!,7,0)</f>
        <v>#REF!</v>
      </c>
      <c r="H163" s="258" t="e">
        <f>H162/VLOOKUP($C162,#REF!,7,0)</f>
        <v>#REF!</v>
      </c>
      <c r="I163" s="1216"/>
      <c r="J163" s="258" t="e">
        <f>J162/VLOOKUP($C162,#REF!,7,0)</f>
        <v>#REF!</v>
      </c>
      <c r="K163" s="1216"/>
      <c r="L163" s="258" t="e">
        <f>L162/VLOOKUP($C162,#REF!,7,0)</f>
        <v>#REF!</v>
      </c>
      <c r="M163" s="1216"/>
      <c r="N163" s="35"/>
      <c r="O163" s="175" t="s">
        <v>116</v>
      </c>
      <c r="P163" s="412"/>
      <c r="Q163" s="258"/>
      <c r="R163" s="608"/>
      <c r="S163" s="35"/>
      <c r="T163" s="175" t="s">
        <v>116</v>
      </c>
      <c r="U163" s="258"/>
      <c r="V163" s="608"/>
      <c r="W163" s="608"/>
      <c r="X163" s="608"/>
      <c r="Y163" s="608"/>
      <c r="AA163" s="621"/>
      <c r="AD163" s="33" t="str">
        <f>C162&amp;F163</f>
        <v>KenyaUSD bn</v>
      </c>
    </row>
    <row r="164" spans="1:30" ht="52" customHeight="1">
      <c r="A164" s="1268"/>
      <c r="B164" s="1268"/>
      <c r="C164" s="1257"/>
      <c r="D164" s="1261"/>
      <c r="E164" s="35"/>
      <c r="F164" s="53" t="s">
        <v>117</v>
      </c>
      <c r="G164" s="258" t="e">
        <f>(G162/VLOOKUP($C162,#REF!,4,0))*100</f>
        <v>#REF!</v>
      </c>
      <c r="H164" s="258" t="e">
        <f>(H162/VLOOKUP($C162,#REF!,4,0))*100</f>
        <v>#REF!</v>
      </c>
      <c r="I164" s="1197"/>
      <c r="J164" s="258" t="e">
        <f>(J162/VLOOKUP($C162,#REF!,4,0))*100</f>
        <v>#REF!</v>
      </c>
      <c r="K164" s="1197"/>
      <c r="L164" s="258" t="e">
        <f>(L162/VLOOKUP($C162,#REF!,4,0))*100</f>
        <v>#REF!</v>
      </c>
      <c r="M164" s="1197"/>
      <c r="N164" s="35"/>
      <c r="O164" s="53" t="s">
        <v>117</v>
      </c>
      <c r="P164" s="499"/>
      <c r="Q164" s="258"/>
      <c r="R164" s="608"/>
      <c r="S164" s="35"/>
      <c r="T164" s="53" t="s">
        <v>117</v>
      </c>
      <c r="U164" s="258"/>
      <c r="V164" s="608"/>
      <c r="W164" s="608"/>
      <c r="X164" s="608"/>
      <c r="Y164" s="608"/>
      <c r="AA164" s="621"/>
      <c r="AD164" s="33" t="str">
        <f>C162&amp;F164</f>
        <v>Kenya% GDP</v>
      </c>
    </row>
    <row r="165" spans="1:30" s="610" customFormat="1" ht="38.5" customHeight="1">
      <c r="A165" s="1268">
        <v>0</v>
      </c>
      <c r="B165" s="1268" t="s">
        <v>862</v>
      </c>
      <c r="C165" s="1256" t="s">
        <v>29</v>
      </c>
      <c r="D165" s="641"/>
      <c r="E165" s="629"/>
      <c r="F165" s="38" t="s">
        <v>115</v>
      </c>
      <c r="G165" s="255">
        <v>636</v>
      </c>
      <c r="H165" s="617">
        <v>500</v>
      </c>
      <c r="I165" s="1184" t="s">
        <v>730</v>
      </c>
      <c r="J165" s="177">
        <f>G165-H165</f>
        <v>136</v>
      </c>
      <c r="K165" s="1184" t="s">
        <v>756</v>
      </c>
      <c r="L165" s="607"/>
      <c r="M165" s="607"/>
      <c r="N165" s="629"/>
      <c r="O165" s="175" t="s">
        <v>115</v>
      </c>
      <c r="P165" s="607"/>
      <c r="Q165" s="276"/>
      <c r="R165" s="607"/>
      <c r="S165" s="629"/>
      <c r="T165" s="175" t="s">
        <v>115</v>
      </c>
      <c r="U165" s="645"/>
      <c r="V165" s="607"/>
      <c r="W165" s="607"/>
      <c r="X165" s="607"/>
      <c r="Y165" s="607"/>
      <c r="Z165" s="629"/>
      <c r="AA165" s="607"/>
      <c r="AD165" s="33" t="str">
        <f>C165&amp;F165</f>
        <v>NigeriaLC bn</v>
      </c>
    </row>
    <row r="166" spans="1:30" s="37" customFormat="1" ht="47.5" customHeight="1">
      <c r="A166" s="1268"/>
      <c r="B166" s="1268"/>
      <c r="C166" s="1256"/>
      <c r="D166" s="641"/>
      <c r="E166" s="610"/>
      <c r="F166" s="175" t="s">
        <v>116</v>
      </c>
      <c r="G166" s="646" t="e">
        <f>G165/VLOOKUP($C165,#REF!,7,0)</f>
        <v>#REF!</v>
      </c>
      <c r="H166" s="258" t="e">
        <f>H165/VLOOKUP($C165,#REF!,7,0)</f>
        <v>#REF!</v>
      </c>
      <c r="I166" s="1185"/>
      <c r="J166" s="646" t="e">
        <f>J165/VLOOKUP($C165,#REF!,7,0)</f>
        <v>#REF!</v>
      </c>
      <c r="K166" s="1219"/>
      <c r="L166" s="608"/>
      <c r="M166" s="608"/>
      <c r="N166" s="610"/>
      <c r="O166" s="175" t="s">
        <v>116</v>
      </c>
      <c r="P166" s="608"/>
      <c r="Q166" s="277"/>
      <c r="R166" s="608"/>
      <c r="S166" s="610"/>
      <c r="T166" s="175" t="s">
        <v>116</v>
      </c>
      <c r="U166" s="646"/>
      <c r="V166" s="608"/>
      <c r="W166" s="608"/>
      <c r="X166" s="608"/>
      <c r="Y166" s="608"/>
      <c r="Z166" s="610"/>
      <c r="AA166" s="608"/>
      <c r="AD166" s="33" t="str">
        <f>C165&amp;F166</f>
        <v>NigeriaUSD bn</v>
      </c>
    </row>
    <row r="167" spans="1:30" ht="34" customHeight="1">
      <c r="A167" s="1268"/>
      <c r="B167" s="1268"/>
      <c r="C167" s="1257"/>
      <c r="D167" s="642"/>
      <c r="E167" s="12"/>
      <c r="F167" s="53" t="s">
        <v>117</v>
      </c>
      <c r="G167" s="252" t="e">
        <f>(G165/VLOOKUP($C165,#REF!,4,0))*100</f>
        <v>#REF!</v>
      </c>
      <c r="H167" s="252" t="e">
        <f>(H165/VLOOKUP($C165,#REF!,4,0))*100</f>
        <v>#REF!</v>
      </c>
      <c r="I167" s="1186"/>
      <c r="J167" s="252" t="e">
        <f>(J165/VLOOKUP($C165,#REF!,4,0))*100</f>
        <v>#REF!</v>
      </c>
      <c r="K167" s="1186"/>
      <c r="L167" s="609"/>
      <c r="M167" s="609"/>
      <c r="N167" s="12"/>
      <c r="O167" s="53" t="s">
        <v>117</v>
      </c>
      <c r="P167" s="643"/>
      <c r="Q167" s="267"/>
      <c r="R167" s="643"/>
      <c r="S167" s="12"/>
      <c r="T167" s="53" t="s">
        <v>117</v>
      </c>
      <c r="U167" s="252"/>
      <c r="V167" s="609"/>
      <c r="W167" s="609"/>
      <c r="X167" s="609"/>
      <c r="Y167" s="609"/>
      <c r="Z167" s="52"/>
      <c r="AA167" s="622"/>
      <c r="AD167" s="33" t="str">
        <f>C165&amp;F167</f>
        <v>Nigeria% GDP</v>
      </c>
    </row>
    <row r="168" spans="1:30" ht="47.15" customHeight="1">
      <c r="A168" s="1268">
        <v>0</v>
      </c>
      <c r="B168" s="1268" t="s">
        <v>862</v>
      </c>
      <c r="C168" s="1256" t="s">
        <v>93</v>
      </c>
      <c r="D168" s="1266" t="s">
        <v>571</v>
      </c>
      <c r="E168" s="14"/>
      <c r="F168" s="38" t="s">
        <v>115</v>
      </c>
      <c r="G168" s="255">
        <f>H168+J168</f>
        <v>396</v>
      </c>
      <c r="H168" s="255">
        <v>79</v>
      </c>
      <c r="I168" s="1184" t="s">
        <v>654</v>
      </c>
      <c r="J168" s="617">
        <v>317</v>
      </c>
      <c r="K168" s="1184" t="s">
        <v>791</v>
      </c>
      <c r="L168" s="617">
        <v>15</v>
      </c>
      <c r="M168" s="1193" t="s">
        <v>584</v>
      </c>
      <c r="N168" s="14"/>
      <c r="O168" s="175" t="s">
        <v>115</v>
      </c>
      <c r="P168" s="255">
        <f>Q168+U168+W168</f>
        <v>70</v>
      </c>
      <c r="Q168" s="282"/>
      <c r="R168" s="1190"/>
      <c r="S168" s="14"/>
      <c r="T168" s="175" t="s">
        <v>115</v>
      </c>
      <c r="U168" s="255">
        <v>70</v>
      </c>
      <c r="V168" s="1184" t="s">
        <v>814</v>
      </c>
      <c r="W168" s="607"/>
      <c r="X168" s="607"/>
      <c r="Y168" s="607"/>
      <c r="Z168" s="14"/>
      <c r="AA168" s="607"/>
      <c r="AD168" s="33" t="str">
        <f>C168&amp;F168</f>
        <v>SenegalLC bn</v>
      </c>
    </row>
    <row r="169" spans="1:30" ht="39.65" customHeight="1">
      <c r="A169" s="1268"/>
      <c r="B169" s="1268"/>
      <c r="C169" s="1256"/>
      <c r="D169" s="1266"/>
      <c r="E169" s="37"/>
      <c r="F169" s="175" t="s">
        <v>116</v>
      </c>
      <c r="G169" s="258" t="e">
        <f>G168/VLOOKUP($C168,#REF!,7,0)</f>
        <v>#REF!</v>
      </c>
      <c r="H169" s="258" t="e">
        <f>H168/VLOOKUP($C168,#REF!,7,0)</f>
        <v>#REF!</v>
      </c>
      <c r="I169" s="1185"/>
      <c r="J169" s="258" t="e">
        <f>J168/VLOOKUP($C168,#REF!,7,0)</f>
        <v>#REF!</v>
      </c>
      <c r="K169" s="1219"/>
      <c r="L169" s="258" t="e">
        <f>L168/VLOOKUP($C168,#REF!,7,0)</f>
        <v>#REF!</v>
      </c>
      <c r="M169" s="1216"/>
      <c r="N169" s="37"/>
      <c r="O169" s="175" t="s">
        <v>116</v>
      </c>
      <c r="P169" s="269" t="e">
        <f>Q169+U169+W169</f>
        <v>#REF!</v>
      </c>
      <c r="Q169" s="269"/>
      <c r="R169" s="1191"/>
      <c r="S169" s="37"/>
      <c r="T169" s="175" t="s">
        <v>116</v>
      </c>
      <c r="U169" s="258" t="e">
        <f>U168/VLOOKUP($C168,#REF!,7,0)</f>
        <v>#REF!</v>
      </c>
      <c r="V169" s="1219"/>
      <c r="W169" s="608"/>
      <c r="X169" s="608"/>
      <c r="Y169" s="608"/>
      <c r="Z169" s="37"/>
      <c r="AA169" s="608"/>
      <c r="AD169" s="33" t="str">
        <f>C168&amp;F169</f>
        <v>SenegalUSD bn</v>
      </c>
    </row>
    <row r="170" spans="1:30" ht="70.5" customHeight="1">
      <c r="A170" s="1268"/>
      <c r="B170" s="1268"/>
      <c r="C170" s="1257"/>
      <c r="D170" s="1261"/>
      <c r="E170" s="12"/>
      <c r="F170" s="53" t="s">
        <v>117</v>
      </c>
      <c r="G170" s="252" t="e">
        <f>(G168/VLOOKUP($C168,#REF!,4,0))*100</f>
        <v>#REF!</v>
      </c>
      <c r="H170" s="252" t="e">
        <f>(H168/VLOOKUP($C168,#REF!,4,0))*100</f>
        <v>#REF!</v>
      </c>
      <c r="I170" s="1186"/>
      <c r="J170" s="252" t="e">
        <f>(J168/VLOOKUP($C168,#REF!,4,0))*100</f>
        <v>#REF!</v>
      </c>
      <c r="K170" s="1186"/>
      <c r="L170" s="252" t="e">
        <f>(L168/VLOOKUP($C168,#REF!,4,0))*100</f>
        <v>#REF!</v>
      </c>
      <c r="M170" s="1197"/>
      <c r="N170" s="12"/>
      <c r="O170" s="53" t="s">
        <v>117</v>
      </c>
      <c r="P170" s="267" t="e">
        <f>Q170+U170+W170</f>
        <v>#REF!</v>
      </c>
      <c r="Q170" s="267"/>
      <c r="R170" s="1192"/>
      <c r="S170" s="12"/>
      <c r="T170" s="53" t="s">
        <v>117</v>
      </c>
      <c r="U170" s="252" t="e">
        <f>(U168/VLOOKUP($C168,#REF!,4,0))*100</f>
        <v>#REF!</v>
      </c>
      <c r="V170" s="1186"/>
      <c r="W170" s="609"/>
      <c r="X170" s="609"/>
      <c r="Y170" s="609"/>
      <c r="Z170" s="52"/>
      <c r="AA170" s="622"/>
      <c r="AD170" s="33" t="str">
        <f>C168&amp;F170</f>
        <v>Senegal% GDP</v>
      </c>
    </row>
    <row r="171" spans="1:30" ht="98.15" customHeight="1">
      <c r="A171" s="1268">
        <v>0</v>
      </c>
      <c r="B171" s="1268" t="s">
        <v>862</v>
      </c>
      <c r="C171" s="1256" t="s">
        <v>33</v>
      </c>
      <c r="D171" s="1266" t="s">
        <v>583</v>
      </c>
      <c r="E171" s="14"/>
      <c r="F171" s="38" t="s">
        <v>115</v>
      </c>
      <c r="G171" s="186">
        <v>86000</v>
      </c>
      <c r="H171" s="186">
        <v>16200</v>
      </c>
      <c r="I171" s="1220" t="s">
        <v>757</v>
      </c>
      <c r="J171" s="485">
        <v>69800</v>
      </c>
      <c r="K171" s="1184" t="s">
        <v>758</v>
      </c>
      <c r="L171" s="186">
        <v>189500</v>
      </c>
      <c r="M171" s="1258" t="s">
        <v>759</v>
      </c>
      <c r="N171" s="14"/>
      <c r="O171" s="175" t="s">
        <v>115</v>
      </c>
      <c r="P171" s="186">
        <v>12000</v>
      </c>
      <c r="Q171" s="276"/>
      <c r="R171" s="607"/>
      <c r="S171" s="14"/>
      <c r="T171" s="175" t="s">
        <v>115</v>
      </c>
      <c r="U171" s="645"/>
      <c r="V171" s="607"/>
      <c r="W171" s="186">
        <v>12000</v>
      </c>
      <c r="X171" s="1184" t="s">
        <v>760</v>
      </c>
      <c r="Y171" s="1184" t="s">
        <v>295</v>
      </c>
      <c r="Z171" s="14"/>
      <c r="AA171" s="607"/>
      <c r="AD171" s="33" t="str">
        <f>C171&amp;F171</f>
        <v>VietnamLC bn</v>
      </c>
    </row>
    <row r="172" spans="1:30" ht="111.65" customHeight="1">
      <c r="A172" s="1268"/>
      <c r="B172" s="1268"/>
      <c r="C172" s="1256"/>
      <c r="D172" s="1266"/>
      <c r="E172" s="35"/>
      <c r="F172" s="175" t="s">
        <v>116</v>
      </c>
      <c r="G172" s="258" t="e">
        <f>G171/VLOOKUP($C171,#REF!,7,0)</f>
        <v>#REF!</v>
      </c>
      <c r="H172" s="258" t="e">
        <f>H171/VLOOKUP($C171,#REF!,7,0)</f>
        <v>#REF!</v>
      </c>
      <c r="I172" s="1287"/>
      <c r="J172" s="258" t="e">
        <f>J171/VLOOKUP($C171,#REF!,7,0)</f>
        <v>#REF!</v>
      </c>
      <c r="K172" s="1185"/>
      <c r="L172" s="258" t="e">
        <f>L171/VLOOKUP($C171,#REF!,7,0)</f>
        <v>#REF!</v>
      </c>
      <c r="M172" s="1284"/>
      <c r="N172" s="35"/>
      <c r="O172" s="175" t="s">
        <v>116</v>
      </c>
      <c r="P172" s="473" t="e">
        <f>P171/VLOOKUP($C171,#REF!,7,0)</f>
        <v>#REF!</v>
      </c>
      <c r="Q172" s="269"/>
      <c r="R172" s="608"/>
      <c r="S172" s="35"/>
      <c r="T172" s="175" t="s">
        <v>116</v>
      </c>
      <c r="U172" s="258"/>
      <c r="V172" s="608"/>
      <c r="W172" s="473" t="e">
        <f>W171/VLOOKUP($C171,#REF!,7,0)</f>
        <v>#REF!</v>
      </c>
      <c r="X172" s="1185"/>
      <c r="Y172" s="1185"/>
      <c r="AA172" s="621"/>
      <c r="AD172" s="33" t="str">
        <f>C171&amp;F172</f>
        <v>VietnamUSD bn</v>
      </c>
    </row>
    <row r="173" spans="1:30" ht="97.5" customHeight="1">
      <c r="A173" s="1268"/>
      <c r="B173" s="1268"/>
      <c r="C173" s="1257"/>
      <c r="D173" s="1261"/>
      <c r="E173" s="12"/>
      <c r="F173" s="53" t="s">
        <v>117</v>
      </c>
      <c r="G173" s="252" t="e">
        <f>(G171/VLOOKUP($C171,#REF!,4,0))*100</f>
        <v>#REF!</v>
      </c>
      <c r="H173" s="252" t="e">
        <f>(H171/VLOOKUP($C171,#REF!,4,0))*100</f>
        <v>#REF!</v>
      </c>
      <c r="I173" s="1222"/>
      <c r="J173" s="252" t="e">
        <f>(J171/VLOOKUP($C171,#REF!,4,0))*100</f>
        <v>#REF!</v>
      </c>
      <c r="K173" s="1186"/>
      <c r="L173" s="252" t="e">
        <f>(L171/VLOOKUP($C171,#REF!,4,0))*100</f>
        <v>#REF!</v>
      </c>
      <c r="M173" s="1243"/>
      <c r="N173" s="12"/>
      <c r="O173" s="53" t="s">
        <v>117</v>
      </c>
      <c r="P173" s="552" t="e">
        <f>(P171/VLOOKUP($C171,#REF!,4,0))*100</f>
        <v>#REF!</v>
      </c>
      <c r="Q173" s="267"/>
      <c r="R173" s="609"/>
      <c r="S173" s="12"/>
      <c r="T173" s="53" t="s">
        <v>117</v>
      </c>
      <c r="U173" s="252"/>
      <c r="V173" s="609"/>
      <c r="W173" s="552" t="e">
        <f>(W171/VLOOKUP($C171,#REF!,4,0))*100</f>
        <v>#REF!</v>
      </c>
      <c r="X173" s="1186"/>
      <c r="Y173" s="1186"/>
      <c r="Z173" s="52"/>
      <c r="AA173" s="622"/>
      <c r="AD173" s="33" t="str">
        <f>C171&amp;F173</f>
        <v>Vietnam% GDP</v>
      </c>
    </row>
    <row r="174" spans="1:30">
      <c r="C174" s="35" t="s">
        <v>108</v>
      </c>
    </row>
    <row r="175" spans="1:30" ht="32.15" customHeight="1">
      <c r="C175" s="1245" t="s">
        <v>889</v>
      </c>
      <c r="D175" s="1245"/>
      <c r="E175" s="1245"/>
      <c r="F175" s="1245"/>
      <c r="G175" s="1245"/>
      <c r="H175" s="1245"/>
      <c r="I175" s="1245"/>
      <c r="J175" s="1245"/>
      <c r="K175" s="1245"/>
      <c r="L175" s="1245"/>
      <c r="M175" s="1245"/>
      <c r="N175" s="1245"/>
      <c r="O175" s="1245"/>
      <c r="P175" s="1245"/>
      <c r="Q175" s="1245"/>
      <c r="R175" s="1245"/>
      <c r="S175" s="1245"/>
      <c r="T175" s="1245"/>
      <c r="U175" s="1245"/>
      <c r="V175" s="1245"/>
      <c r="W175" s="1245"/>
      <c r="X175" s="1245"/>
    </row>
    <row r="176" spans="1:30">
      <c r="C176" s="35" t="s">
        <v>873</v>
      </c>
    </row>
    <row r="177" spans="3:3">
      <c r="C177" s="644"/>
    </row>
  </sheetData>
  <autoFilter ref="A5:F5" xr:uid="{70D8D969-D19A-4A37-9D57-5E4D8D57F6B2}"/>
  <mergeCells count="537">
    <mergeCell ref="M171:M173"/>
    <mergeCell ref="X171:X173"/>
    <mergeCell ref="Y171:Y173"/>
    <mergeCell ref="C175:X175"/>
    <mergeCell ref="K168:K170"/>
    <mergeCell ref="M168:M170"/>
    <mergeCell ref="R168:R170"/>
    <mergeCell ref="V168:V170"/>
    <mergeCell ref="A171:A173"/>
    <mergeCell ref="B171:B173"/>
    <mergeCell ref="C171:C173"/>
    <mergeCell ref="D171:D173"/>
    <mergeCell ref="I171:I173"/>
    <mergeCell ref="K171:K173"/>
    <mergeCell ref="A165:A167"/>
    <mergeCell ref="B165:B167"/>
    <mergeCell ref="C165:C167"/>
    <mergeCell ref="I165:I167"/>
    <mergeCell ref="K165:K167"/>
    <mergeCell ref="A168:A170"/>
    <mergeCell ref="B168:B170"/>
    <mergeCell ref="C168:C170"/>
    <mergeCell ref="D168:D170"/>
    <mergeCell ref="I168:I170"/>
    <mergeCell ref="V159:V161"/>
    <mergeCell ref="X159:X161"/>
    <mergeCell ref="A162:A164"/>
    <mergeCell ref="B162:B164"/>
    <mergeCell ref="C162:C164"/>
    <mergeCell ref="D162:D164"/>
    <mergeCell ref="I162:I164"/>
    <mergeCell ref="K162:K164"/>
    <mergeCell ref="M162:M164"/>
    <mergeCell ref="R156:R158"/>
    <mergeCell ref="A159:A161"/>
    <mergeCell ref="B159:B161"/>
    <mergeCell ref="C159:C161"/>
    <mergeCell ref="D159:D161"/>
    <mergeCell ref="I159:I161"/>
    <mergeCell ref="K159:K161"/>
    <mergeCell ref="M159:M161"/>
    <mergeCell ref="A156:A158"/>
    <mergeCell ref="B156:B158"/>
    <mergeCell ref="C156:C158"/>
    <mergeCell ref="D156:D158"/>
    <mergeCell ref="I156:I158"/>
    <mergeCell ref="K156:K158"/>
    <mergeCell ref="A147:A149"/>
    <mergeCell ref="B147:B149"/>
    <mergeCell ref="C147:C149"/>
    <mergeCell ref="D147:D149"/>
    <mergeCell ref="I147:I149"/>
    <mergeCell ref="K147:K149"/>
    <mergeCell ref="R147:R149"/>
    <mergeCell ref="R150:R152"/>
    <mergeCell ref="A153:A155"/>
    <mergeCell ref="B153:B155"/>
    <mergeCell ref="C153:C155"/>
    <mergeCell ref="D153:D155"/>
    <mergeCell ref="I153:I155"/>
    <mergeCell ref="K153:K155"/>
    <mergeCell ref="M153:M155"/>
    <mergeCell ref="R153:R155"/>
    <mergeCell ref="A150:A152"/>
    <mergeCell ref="B150:B152"/>
    <mergeCell ref="C150:C152"/>
    <mergeCell ref="D150:D152"/>
    <mergeCell ref="I150:I152"/>
    <mergeCell ref="K150:K152"/>
    <mergeCell ref="Y141:Y143"/>
    <mergeCell ref="A144:A146"/>
    <mergeCell ref="B144:B146"/>
    <mergeCell ref="C144:C146"/>
    <mergeCell ref="D144:D146"/>
    <mergeCell ref="I144:I146"/>
    <mergeCell ref="K144:K146"/>
    <mergeCell ref="R144:R146"/>
    <mergeCell ref="V144:V146"/>
    <mergeCell ref="X144:X146"/>
    <mergeCell ref="X138:X140"/>
    <mergeCell ref="A141:A143"/>
    <mergeCell ref="B141:B143"/>
    <mergeCell ref="C141:C143"/>
    <mergeCell ref="D141:D143"/>
    <mergeCell ref="I141:I143"/>
    <mergeCell ref="K141:K143"/>
    <mergeCell ref="M141:M143"/>
    <mergeCell ref="R141:R143"/>
    <mergeCell ref="V141:V143"/>
    <mergeCell ref="A138:A140"/>
    <mergeCell ref="B138:B140"/>
    <mergeCell ref="C138:C140"/>
    <mergeCell ref="D138:D140"/>
    <mergeCell ref="I138:I140"/>
    <mergeCell ref="K138:K140"/>
    <mergeCell ref="M138:M140"/>
    <mergeCell ref="R138:R140"/>
    <mergeCell ref="V138:V140"/>
    <mergeCell ref="M132:M134"/>
    <mergeCell ref="R132:R134"/>
    <mergeCell ref="V132:V134"/>
    <mergeCell ref="X132:X134"/>
    <mergeCell ref="A135:A137"/>
    <mergeCell ref="B135:B137"/>
    <mergeCell ref="C135:C137"/>
    <mergeCell ref="D135:D137"/>
    <mergeCell ref="I135:I137"/>
    <mergeCell ref="K135:K137"/>
    <mergeCell ref="A132:A134"/>
    <mergeCell ref="B132:B134"/>
    <mergeCell ref="C132:C134"/>
    <mergeCell ref="D132:D134"/>
    <mergeCell ref="I132:I134"/>
    <mergeCell ref="K132:K134"/>
    <mergeCell ref="M135:M137"/>
    <mergeCell ref="R135:R137"/>
    <mergeCell ref="V135:V137"/>
    <mergeCell ref="A129:A131"/>
    <mergeCell ref="B129:B131"/>
    <mergeCell ref="C129:C131"/>
    <mergeCell ref="D129:D131"/>
    <mergeCell ref="I129:I131"/>
    <mergeCell ref="K129:K131"/>
    <mergeCell ref="R129:R131"/>
    <mergeCell ref="V129:V131"/>
    <mergeCell ref="X129:X131"/>
    <mergeCell ref="M123:M125"/>
    <mergeCell ref="X123:X125"/>
    <mergeCell ref="A126:A128"/>
    <mergeCell ref="B126:B128"/>
    <mergeCell ref="C126:C128"/>
    <mergeCell ref="D126:D128"/>
    <mergeCell ref="I126:I128"/>
    <mergeCell ref="K126:K128"/>
    <mergeCell ref="M126:M128"/>
    <mergeCell ref="V126:V128"/>
    <mergeCell ref="A123:A125"/>
    <mergeCell ref="B123:B125"/>
    <mergeCell ref="C123:C125"/>
    <mergeCell ref="D123:D125"/>
    <mergeCell ref="I123:I125"/>
    <mergeCell ref="K123:K125"/>
    <mergeCell ref="X126:X128"/>
    <mergeCell ref="X117:X119"/>
    <mergeCell ref="A120:A122"/>
    <mergeCell ref="B120:B122"/>
    <mergeCell ref="C120:C122"/>
    <mergeCell ref="D120:D122"/>
    <mergeCell ref="I120:I122"/>
    <mergeCell ref="K120:K122"/>
    <mergeCell ref="R120:R122"/>
    <mergeCell ref="V120:V122"/>
    <mergeCell ref="A117:A119"/>
    <mergeCell ref="B117:B119"/>
    <mergeCell ref="C117:C119"/>
    <mergeCell ref="D117:D119"/>
    <mergeCell ref="I117:I119"/>
    <mergeCell ref="K117:K119"/>
    <mergeCell ref="M117:M119"/>
    <mergeCell ref="R117:R119"/>
    <mergeCell ref="V117:V119"/>
    <mergeCell ref="M111:M113"/>
    <mergeCell ref="R111:R113"/>
    <mergeCell ref="V111:V113"/>
    <mergeCell ref="A114:A116"/>
    <mergeCell ref="B114:B116"/>
    <mergeCell ref="C114:C116"/>
    <mergeCell ref="D114:D116"/>
    <mergeCell ref="I114:I116"/>
    <mergeCell ref="K114:K116"/>
    <mergeCell ref="M114:M116"/>
    <mergeCell ref="A111:A113"/>
    <mergeCell ref="B111:B113"/>
    <mergeCell ref="C111:C113"/>
    <mergeCell ref="D111:D113"/>
    <mergeCell ref="I111:I113"/>
    <mergeCell ref="K111:K113"/>
    <mergeCell ref="R114:R116"/>
    <mergeCell ref="V114:V116"/>
    <mergeCell ref="AA105:AA107"/>
    <mergeCell ref="A108:A110"/>
    <mergeCell ref="B108:B110"/>
    <mergeCell ref="C108:C110"/>
    <mergeCell ref="D108:D110"/>
    <mergeCell ref="I108:I110"/>
    <mergeCell ref="K108:K110"/>
    <mergeCell ref="M108:M110"/>
    <mergeCell ref="R108:R110"/>
    <mergeCell ref="V108:V110"/>
    <mergeCell ref="K105:K107"/>
    <mergeCell ref="M105:M107"/>
    <mergeCell ref="R105:R107"/>
    <mergeCell ref="V105:V107"/>
    <mergeCell ref="X105:X107"/>
    <mergeCell ref="Y105:Y107"/>
    <mergeCell ref="M102:M104"/>
    <mergeCell ref="R102:R104"/>
    <mergeCell ref="V102:V104"/>
    <mergeCell ref="X102:X104"/>
    <mergeCell ref="Y102:Y104"/>
    <mergeCell ref="A105:A107"/>
    <mergeCell ref="B105:B107"/>
    <mergeCell ref="C105:C107"/>
    <mergeCell ref="D105:D107"/>
    <mergeCell ref="I105:I107"/>
    <mergeCell ref="A102:A104"/>
    <mergeCell ref="B102:B104"/>
    <mergeCell ref="C102:C104"/>
    <mergeCell ref="D102:D104"/>
    <mergeCell ref="I102:I104"/>
    <mergeCell ref="K102:K104"/>
    <mergeCell ref="M96:M98"/>
    <mergeCell ref="V96:V98"/>
    <mergeCell ref="A99:A101"/>
    <mergeCell ref="B99:B101"/>
    <mergeCell ref="C99:C101"/>
    <mergeCell ref="D99:D101"/>
    <mergeCell ref="I99:I101"/>
    <mergeCell ref="K99:K101"/>
    <mergeCell ref="M99:M101"/>
    <mergeCell ref="V99:V101"/>
    <mergeCell ref="A96:A98"/>
    <mergeCell ref="B96:B98"/>
    <mergeCell ref="C96:C98"/>
    <mergeCell ref="D96:D98"/>
    <mergeCell ref="I96:I98"/>
    <mergeCell ref="K96:K98"/>
    <mergeCell ref="A93:A95"/>
    <mergeCell ref="B93:B95"/>
    <mergeCell ref="C93:C95"/>
    <mergeCell ref="D93:D95"/>
    <mergeCell ref="I93:I95"/>
    <mergeCell ref="K93:K95"/>
    <mergeCell ref="M93:M95"/>
    <mergeCell ref="R93:R95"/>
    <mergeCell ref="V93:V95"/>
    <mergeCell ref="Y87:Y89"/>
    <mergeCell ref="AA87:AA89"/>
    <mergeCell ref="A90:A92"/>
    <mergeCell ref="B90:B92"/>
    <mergeCell ref="C90:C92"/>
    <mergeCell ref="D90:D92"/>
    <mergeCell ref="I90:I92"/>
    <mergeCell ref="K90:K92"/>
    <mergeCell ref="R90:R92"/>
    <mergeCell ref="V90:V92"/>
    <mergeCell ref="A87:A89"/>
    <mergeCell ref="B87:B89"/>
    <mergeCell ref="C87:C89"/>
    <mergeCell ref="D87:D89"/>
    <mergeCell ref="I87:I89"/>
    <mergeCell ref="K87:K89"/>
    <mergeCell ref="M87:M89"/>
    <mergeCell ref="R87:R89"/>
    <mergeCell ref="V87:V89"/>
    <mergeCell ref="Y81:Y83"/>
    <mergeCell ref="AA81:AA83"/>
    <mergeCell ref="A84:A86"/>
    <mergeCell ref="B84:B86"/>
    <mergeCell ref="C84:C86"/>
    <mergeCell ref="D84:D86"/>
    <mergeCell ref="I84:I86"/>
    <mergeCell ref="K84:K86"/>
    <mergeCell ref="R84:R86"/>
    <mergeCell ref="V84:V86"/>
    <mergeCell ref="X84:X86"/>
    <mergeCell ref="A81:A83"/>
    <mergeCell ref="B81:B83"/>
    <mergeCell ref="C81:C83"/>
    <mergeCell ref="D81:D83"/>
    <mergeCell ref="I81:I83"/>
    <mergeCell ref="K81:K83"/>
    <mergeCell ref="M81:M83"/>
    <mergeCell ref="R81:R83"/>
    <mergeCell ref="V81:V83"/>
    <mergeCell ref="Y75:Y77"/>
    <mergeCell ref="A78:A80"/>
    <mergeCell ref="B78:B80"/>
    <mergeCell ref="C78:C80"/>
    <mergeCell ref="D78:D80"/>
    <mergeCell ref="I78:I80"/>
    <mergeCell ref="K78:K80"/>
    <mergeCell ref="M78:M80"/>
    <mergeCell ref="R78:R80"/>
    <mergeCell ref="V78:V80"/>
    <mergeCell ref="X78:X80"/>
    <mergeCell ref="Y78:Y79"/>
    <mergeCell ref="X72:X74"/>
    <mergeCell ref="A75:A77"/>
    <mergeCell ref="B75:B77"/>
    <mergeCell ref="C75:C77"/>
    <mergeCell ref="D75:D77"/>
    <mergeCell ref="I75:I77"/>
    <mergeCell ref="K75:K77"/>
    <mergeCell ref="M75:M77"/>
    <mergeCell ref="R75:R77"/>
    <mergeCell ref="V75:V77"/>
    <mergeCell ref="A69:A71"/>
    <mergeCell ref="B69:B71"/>
    <mergeCell ref="C69:C71"/>
    <mergeCell ref="D69:D71"/>
    <mergeCell ref="I69:I71"/>
    <mergeCell ref="K69:K71"/>
    <mergeCell ref="M69:M71"/>
    <mergeCell ref="V69:V71"/>
    <mergeCell ref="A72:A74"/>
    <mergeCell ref="B72:B74"/>
    <mergeCell ref="C72:C74"/>
    <mergeCell ref="D72:D74"/>
    <mergeCell ref="I72:I74"/>
    <mergeCell ref="K72:K74"/>
    <mergeCell ref="M72:M74"/>
    <mergeCell ref="R72:R74"/>
    <mergeCell ref="V72:V74"/>
    <mergeCell ref="X63:X65"/>
    <mergeCell ref="A66:A68"/>
    <mergeCell ref="B66:B68"/>
    <mergeCell ref="C66:C68"/>
    <mergeCell ref="D66:D68"/>
    <mergeCell ref="I66:I68"/>
    <mergeCell ref="K66:K68"/>
    <mergeCell ref="M66:M68"/>
    <mergeCell ref="R66:R68"/>
    <mergeCell ref="V66:V68"/>
    <mergeCell ref="X66:X68"/>
    <mergeCell ref="A63:A65"/>
    <mergeCell ref="B63:B65"/>
    <mergeCell ref="C63:C65"/>
    <mergeCell ref="D63:D65"/>
    <mergeCell ref="I63:I65"/>
    <mergeCell ref="K63:K65"/>
    <mergeCell ref="M63:M65"/>
    <mergeCell ref="R63:R65"/>
    <mergeCell ref="V63:V65"/>
    <mergeCell ref="A60:A62"/>
    <mergeCell ref="B60:B62"/>
    <mergeCell ref="C60:C62"/>
    <mergeCell ref="D60:D62"/>
    <mergeCell ref="I60:I62"/>
    <mergeCell ref="K60:K62"/>
    <mergeCell ref="M60:M62"/>
    <mergeCell ref="R60:R62"/>
    <mergeCell ref="AA60:AA61"/>
    <mergeCell ref="Y54:Y56"/>
    <mergeCell ref="AA54:AA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X48:X50"/>
    <mergeCell ref="AA48:AA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Y36:Y38"/>
    <mergeCell ref="A39:A41"/>
    <mergeCell ref="B39:B41"/>
    <mergeCell ref="C39:C41"/>
    <mergeCell ref="D39:D41"/>
    <mergeCell ref="I39:I41"/>
    <mergeCell ref="K39:K41"/>
    <mergeCell ref="M39:M41"/>
    <mergeCell ref="R39:R41"/>
    <mergeCell ref="V39:V41"/>
    <mergeCell ref="X39:X41"/>
    <mergeCell ref="A36:A38"/>
    <mergeCell ref="B36:B38"/>
    <mergeCell ref="C36:C38"/>
    <mergeCell ref="D36:D38"/>
    <mergeCell ref="I36:I38"/>
    <mergeCell ref="K36:K38"/>
    <mergeCell ref="M36:M38"/>
    <mergeCell ref="R36:R38"/>
    <mergeCell ref="V36:V38"/>
    <mergeCell ref="M30:M32"/>
    <mergeCell ref="R30:R32"/>
    <mergeCell ref="V30:V32"/>
    <mergeCell ref="X30:X32"/>
    <mergeCell ref="AA30:AA32"/>
    <mergeCell ref="A33:A35"/>
    <mergeCell ref="B33:B35"/>
    <mergeCell ref="C33:C35"/>
    <mergeCell ref="D33:D35"/>
    <mergeCell ref="I33:I35"/>
    <mergeCell ref="A30:A32"/>
    <mergeCell ref="B30:B32"/>
    <mergeCell ref="C30:C32"/>
    <mergeCell ref="D30:D32"/>
    <mergeCell ref="I30:I32"/>
    <mergeCell ref="K30:K32"/>
    <mergeCell ref="AA33:AA35"/>
    <mergeCell ref="K33:K35"/>
    <mergeCell ref="M33:M35"/>
    <mergeCell ref="R33:R35"/>
    <mergeCell ref="V33:V35"/>
    <mergeCell ref="X33:X35"/>
    <mergeCell ref="Y33:Y35"/>
    <mergeCell ref="M27:M29"/>
    <mergeCell ref="R27:R29"/>
    <mergeCell ref="V27:V29"/>
    <mergeCell ref="X27:X29"/>
    <mergeCell ref="Y27:Y29"/>
    <mergeCell ref="AA27:AA29"/>
    <mergeCell ref="A27:A29"/>
    <mergeCell ref="B27:B29"/>
    <mergeCell ref="C27:C29"/>
    <mergeCell ref="D27:D29"/>
    <mergeCell ref="I27:I29"/>
    <mergeCell ref="K27:K29"/>
    <mergeCell ref="R24:R26"/>
    <mergeCell ref="V24:V26"/>
    <mergeCell ref="X24:X26"/>
    <mergeCell ref="Y24:Y26"/>
    <mergeCell ref="M21:M23"/>
    <mergeCell ref="R21:R23"/>
    <mergeCell ref="V21:V23"/>
    <mergeCell ref="X21:X23"/>
    <mergeCell ref="Y21:Y23"/>
    <mergeCell ref="R18:R20"/>
    <mergeCell ref="V18:V20"/>
    <mergeCell ref="Y18:Y20"/>
    <mergeCell ref="AA18:AA20"/>
    <mergeCell ref="A21:A23"/>
    <mergeCell ref="B21:B23"/>
    <mergeCell ref="C21:C23"/>
    <mergeCell ref="D21:D23"/>
    <mergeCell ref="I21:I23"/>
    <mergeCell ref="K21:K23"/>
    <mergeCell ref="A18:A20"/>
    <mergeCell ref="B18:B20"/>
    <mergeCell ref="C18:C20"/>
    <mergeCell ref="D18:D20"/>
    <mergeCell ref="I18:I20"/>
    <mergeCell ref="K18:K20"/>
    <mergeCell ref="M18:M20"/>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5:R17"/>
    <mergeCell ref="V15:V17"/>
    <mergeCell ref="AB9:AB11"/>
    <mergeCell ref="A12:A14"/>
    <mergeCell ref="B12:B14"/>
    <mergeCell ref="C12:C14"/>
    <mergeCell ref="D12:D14"/>
    <mergeCell ref="I12:I14"/>
    <mergeCell ref="K12:K14"/>
    <mergeCell ref="R12:R14"/>
    <mergeCell ref="V12:V14"/>
    <mergeCell ref="Y12:Y14"/>
    <mergeCell ref="Y6:Y8"/>
    <mergeCell ref="AA6:AA8"/>
    <mergeCell ref="A9:A11"/>
    <mergeCell ref="B9:B11"/>
    <mergeCell ref="C9:C11"/>
    <mergeCell ref="D9:D11"/>
    <mergeCell ref="I9:I11"/>
    <mergeCell ref="K9:K11"/>
    <mergeCell ref="M9:M11"/>
    <mergeCell ref="R9:R11"/>
    <mergeCell ref="V9:V11"/>
    <mergeCell ref="C3:X3"/>
    <mergeCell ref="H4:M4"/>
    <mergeCell ref="Q4:R4"/>
    <mergeCell ref="T4:X4"/>
    <mergeCell ref="A6:A8"/>
    <mergeCell ref="B6:B8"/>
    <mergeCell ref="C6:C8"/>
    <mergeCell ref="D6:D8"/>
    <mergeCell ref="I6:I8"/>
    <mergeCell ref="K6:K8"/>
    <mergeCell ref="M6:M8"/>
    <mergeCell ref="R6:R8"/>
    <mergeCell ref="V6:V8"/>
  </mergeCells>
  <hyperlinks>
    <hyperlink ref="AA48" r:id="rId1" xr:uid="{5D808FB5-7851-4FF8-8ABC-EAB906649927}"/>
    <hyperlink ref="AA60" r:id="rId2" xr:uid="{02A08C94-6C1D-4D67-B3A6-B089FF4B0BA6}"/>
    <hyperlink ref="AA9" r:id="rId3" xr:uid="{17A37857-330F-4F3C-961B-F95FC5276F7B}"/>
    <hyperlink ref="AA15" r:id="rId4" xr:uid="{ADA0E7D0-1B6E-4322-8645-6CE9F816C09B}"/>
    <hyperlink ref="AA21" r:id="rId5" xr:uid="{F469AD1A-B1B8-49C1-BC07-5D40D9CEEB31}"/>
    <hyperlink ref="AA18" r:id="rId6" xr:uid="{FDC80757-6B92-46F0-A802-351D14118684}"/>
    <hyperlink ref="AA27" r:id="rId7" xr:uid="{8D8B0471-6E47-4456-86EE-8B782F6D06B4}"/>
    <hyperlink ref="AA33" r:id="rId8" xr:uid="{9545FB1E-DC5F-4477-A5B1-0C067F54204F}"/>
    <hyperlink ref="AA78" r:id="rId9" xr:uid="{E7B876D6-D864-4733-83FE-95E2C9CD416A}"/>
    <hyperlink ref="AA81" r:id="rId10" xr:uid="{72385C64-8E5F-4F43-9198-4FF742A23FF0}"/>
    <hyperlink ref="AA87" r:id="rId11" xr:uid="{BF3313F1-7F66-4D44-96CB-4B0125915697}"/>
    <hyperlink ref="AA30" r:id="rId12" xr:uid="{A5C001F1-48CE-4344-A9EB-B1F1002BEA5F}"/>
    <hyperlink ref="AA105" r:id="rId13" xr:uid="{B4839A4B-4182-4148-AA00-AB8CBD93B2A3}"/>
    <hyperlink ref="AA144" r:id="rId14" xr:uid="{99CF8B70-079E-4A1D-B206-04657D6F7439}"/>
    <hyperlink ref="AA145" r:id="rId15" xr:uid="{A31522C6-0E8E-463B-91F3-D43AD822BBF8}"/>
    <hyperlink ref="AB6" r:id="rId16" display="https://treasury.gov.au/coronavirus" xr:uid="{605C707D-0B8D-467D-904D-00B8B558D0FC}"/>
    <hyperlink ref="AA6" r:id="rId17" xr:uid="{3FB7C706-1962-4B5E-ABDB-3276F78A53CD}"/>
    <hyperlink ref="AA22" r:id="rId18" xr:uid="{901B0884-C543-44A0-9D0C-6945BEBA03E5}"/>
    <hyperlink ref="AA132" r:id="rId19" display="https://urldefense.proofpoint.com/v2/url?u=https-3A__www.gov.pl_web_tarczaantykryzysowa&amp;d=DwMFBA&amp;c=G8CoXqdZ57E1EOn2t2CVrg&amp;r=1dNmfCwUPm-Zyfp8PIjgpWCvO5QO5p2LM0QGFAzgPvI&amp;m=nz2rsJenFWhU9KRBhOJ8maK12Et9Tar9PrzSGpsIzBw&amp;s=CAY3fc6DLo3KDD4wEX63BZhcse8VIq2LHFGPVw4INzI&amp;e=" xr:uid="{74758433-B210-42EA-82EC-AC866644290B}"/>
    <hyperlink ref="AA77" r:id="rId20" xr:uid="{F1C7B520-B4E7-48C5-A484-9497E51AFB12}"/>
    <hyperlink ref="AA75" r:id="rId21" xr:uid="{EDDCA4AE-4A39-47C1-8BA1-CCFE16F38155}"/>
    <hyperlink ref="AA76" r:id="rId22" xr:uid="{CFBE6494-B9A9-4754-846D-E32BAD191E77}"/>
    <hyperlink ref="AA54" r:id="rId23" display="http://www5.diputados.gob.mx/index.php/esl/Comunicacion/Boletines/2020/Marzo/18/3509-Aprueban-crear-el-Fondo-para-la-Prevencion-y-Atencion-de-Emergencias_x000a__x000a_" xr:uid="{BD7BBDB8-66FA-4D22-96B2-379802A6D688}"/>
  </hyperlinks>
  <pageMargins left="0.7" right="0.7" top="0.75" bottom="0.75" header="0.3" footer="0.3"/>
  <pageSetup scale="38" fitToHeight="0" orientation="landscape" r:id="rId24"/>
  <rowBreaks count="10" manualBreakCount="10">
    <brk id="23" min="2" max="23" man="1"/>
    <brk id="32" min="2" max="23" man="1"/>
    <brk id="41" min="2" max="23" man="1"/>
    <brk id="53" min="2" max="23" man="1"/>
    <brk id="80" min="2" max="23" man="1"/>
    <brk id="95" min="2" max="23" man="1"/>
    <brk id="110" min="2" max="23" man="1"/>
    <brk id="128" min="2" max="23" man="1"/>
    <brk id="146" min="2" max="23" man="1"/>
    <brk id="170" min="2" max="23" man="1"/>
  </rowBreaks>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27351-5341-4BBB-B642-5BD982FE2E84}">
  <sheetPr>
    <tabColor rgb="FFFF0000"/>
    <pageSetUpPr fitToPage="1"/>
  </sheetPr>
  <dimension ref="A2:AE207"/>
  <sheetViews>
    <sheetView view="pageBreakPreview" zoomScale="70" zoomScaleNormal="100" zoomScaleSheetLayoutView="70" workbookViewId="0">
      <pane ySplit="5" topLeftCell="A102" activePane="bottomLeft" state="frozen"/>
      <selection activeCell="H128" sqref="H128"/>
      <selection pane="bottomLeft" activeCell="A102" sqref="A102:XFD104"/>
    </sheetView>
  </sheetViews>
  <sheetFormatPr defaultColWidth="8.54296875" defaultRowHeight="12.5" outlineLevelRow="1" outlineLevelCol="1"/>
  <cols>
    <col min="1" max="1" width="6.54296875" style="33" customWidth="1" outlineLevel="1"/>
    <col min="2" max="2" width="7.1796875" style="33" customWidth="1" outlineLevel="1"/>
    <col min="3" max="3" width="5.81640625" style="553" customWidth="1"/>
    <col min="4" max="4" width="5.81640625" style="801" customWidth="1"/>
    <col min="5" max="5" width="1.453125" style="55" customWidth="1"/>
    <col min="6" max="6" width="4" style="35" bestFit="1" customWidth="1"/>
    <col min="7" max="7" width="10.54296875" style="246" customWidth="1"/>
    <col min="8" max="8" width="7.54296875" style="33" customWidth="1"/>
    <col min="9" max="9" width="31.54296875" style="55" customWidth="1"/>
    <col min="10" max="10" width="8.453125" style="55" customWidth="1"/>
    <col min="11" max="11" width="50.453125" style="35" customWidth="1"/>
    <col min="12" max="12" width="9" style="35" customWidth="1"/>
    <col min="13" max="13" width="36.54296875" style="35" customWidth="1"/>
    <col min="14" max="14" width="1.453125" style="55" customWidth="1"/>
    <col min="15" max="15" width="4" style="35" bestFit="1" customWidth="1"/>
    <col min="16" max="16" width="9.453125" style="55" customWidth="1"/>
    <col min="17" max="17" width="8.453125" style="261" customWidth="1"/>
    <col min="18" max="18" width="32.1796875" style="35" customWidth="1"/>
    <col min="19" max="19" width="1.453125" style="55" customWidth="1"/>
    <col min="20" max="20" width="4" style="35" bestFit="1" customWidth="1"/>
    <col min="21" max="21" width="8.54296875" style="246" bestFit="1" customWidth="1"/>
    <col min="22" max="22" width="37.453125" style="35" customWidth="1"/>
    <col min="23" max="23" width="9" style="35" customWidth="1"/>
    <col min="24" max="24" width="37.1796875" style="35" customWidth="1"/>
    <col min="25" max="25" width="38" style="35" hidden="1" customWidth="1"/>
    <col min="26" max="26" width="2.54296875" style="55" customWidth="1"/>
    <col min="27" max="27" width="52.453125" style="796" customWidth="1" outlineLevel="1"/>
    <col min="28" max="28" width="31.453125" style="33" customWidth="1" outlineLevel="1"/>
    <col min="29" max="30" width="8.54296875" style="33" customWidth="1" outlineLevel="1"/>
    <col min="31" max="16384" width="8.54296875" style="33"/>
  </cols>
  <sheetData>
    <row r="2" spans="1:30" ht="21.65" customHeight="1">
      <c r="A2" s="591"/>
      <c r="C2" s="604" t="s">
        <v>874</v>
      </c>
      <c r="D2" s="604"/>
      <c r="E2" s="52"/>
      <c r="F2" s="605"/>
      <c r="G2" s="606"/>
      <c r="H2" s="2"/>
      <c r="I2" s="52"/>
      <c r="J2" s="52"/>
      <c r="K2" s="12"/>
      <c r="L2" s="12"/>
      <c r="M2" s="12"/>
      <c r="N2" s="52"/>
      <c r="O2" s="12"/>
      <c r="P2" s="52"/>
      <c r="Q2" s="262"/>
      <c r="R2" s="12"/>
      <c r="S2" s="52"/>
      <c r="T2" s="12"/>
      <c r="U2" s="248"/>
      <c r="V2" s="12"/>
      <c r="W2" s="12"/>
      <c r="X2" s="12"/>
    </row>
    <row r="3" spans="1:30" ht="116.15" customHeight="1" outlineLevel="1">
      <c r="A3" s="591"/>
      <c r="C3" s="1251" t="s">
        <v>1212</v>
      </c>
      <c r="D3" s="1251"/>
      <c r="E3" s="1251"/>
      <c r="F3" s="1251"/>
      <c r="G3" s="1251"/>
      <c r="H3" s="1251"/>
      <c r="I3" s="1251"/>
      <c r="J3" s="1251"/>
      <c r="K3" s="1251"/>
      <c r="L3" s="1251"/>
      <c r="M3" s="1251"/>
      <c r="N3" s="1251"/>
      <c r="O3" s="1251"/>
      <c r="P3" s="1251"/>
      <c r="Q3" s="1251"/>
      <c r="R3" s="1251"/>
      <c r="S3" s="1251"/>
      <c r="T3" s="1251"/>
      <c r="U3" s="1251"/>
      <c r="V3" s="1251"/>
      <c r="W3" s="1251"/>
      <c r="X3" s="1251"/>
    </row>
    <row r="4" spans="1:30" ht="13" customHeight="1">
      <c r="A4" s="14"/>
      <c r="B4" s="14"/>
      <c r="C4" s="597"/>
      <c r="D4" s="597"/>
      <c r="F4" s="597"/>
      <c r="G4" s="599"/>
      <c r="H4" s="1234" t="s">
        <v>592</v>
      </c>
      <c r="I4" s="1234"/>
      <c r="J4" s="1234"/>
      <c r="K4" s="1234"/>
      <c r="L4" s="1234"/>
      <c r="M4" s="1234"/>
      <c r="O4" s="597"/>
      <c r="P4" s="600"/>
      <c r="Q4" s="1183" t="s">
        <v>593</v>
      </c>
      <c r="R4" s="1183"/>
      <c r="T4" s="1183" t="s">
        <v>594</v>
      </c>
      <c r="U4" s="1183"/>
      <c r="V4" s="1183"/>
      <c r="W4" s="1183"/>
      <c r="X4" s="1183"/>
      <c r="Y4" s="47" t="s">
        <v>60</v>
      </c>
      <c r="AA4" s="46" t="s">
        <v>43</v>
      </c>
    </row>
    <row r="5" spans="1:30" s="5" customFormat="1" ht="65.150000000000006" customHeight="1">
      <c r="A5" s="592" t="s">
        <v>860</v>
      </c>
      <c r="B5" s="37" t="s">
        <v>859</v>
      </c>
      <c r="C5" s="593" t="s">
        <v>855</v>
      </c>
      <c r="D5" s="598" t="s">
        <v>857</v>
      </c>
      <c r="E5" s="61"/>
      <c r="F5" s="596" t="s">
        <v>856</v>
      </c>
      <c r="G5" s="595" t="s">
        <v>738</v>
      </c>
      <c r="H5" s="101" t="s">
        <v>107</v>
      </c>
      <c r="I5" s="592" t="s">
        <v>543</v>
      </c>
      <c r="J5" s="101" t="s">
        <v>706</v>
      </c>
      <c r="K5" s="592" t="s">
        <v>544</v>
      </c>
      <c r="L5" s="592" t="s">
        <v>706</v>
      </c>
      <c r="M5" s="555" t="s">
        <v>710</v>
      </c>
      <c r="N5" s="61"/>
      <c r="O5" s="596" t="s">
        <v>856</v>
      </c>
      <c r="P5" s="594" t="s">
        <v>595</v>
      </c>
      <c r="Q5" s="83" t="s">
        <v>706</v>
      </c>
      <c r="R5" s="592" t="s">
        <v>410</v>
      </c>
      <c r="S5" s="61"/>
      <c r="T5" s="590" t="s">
        <v>856</v>
      </c>
      <c r="U5" s="83" t="s">
        <v>706</v>
      </c>
      <c r="V5" s="592" t="s">
        <v>707</v>
      </c>
      <c r="W5" s="592" t="s">
        <v>706</v>
      </c>
      <c r="X5" s="592" t="s">
        <v>708</v>
      </c>
      <c r="Y5" s="797" t="s">
        <v>114</v>
      </c>
      <c r="Z5" s="61"/>
      <c r="AA5" s="797"/>
      <c r="AD5" s="5" t="s">
        <v>598</v>
      </c>
    </row>
    <row r="6" spans="1:30" ht="100" customHeight="1">
      <c r="A6" s="1268">
        <v>1</v>
      </c>
      <c r="B6" s="1268" t="s">
        <v>858</v>
      </c>
      <c r="C6" s="1255" t="s">
        <v>0</v>
      </c>
      <c r="D6" s="1253" t="s">
        <v>570</v>
      </c>
      <c r="F6" s="175" t="s">
        <v>115</v>
      </c>
      <c r="G6" s="250">
        <f>H6+J6</f>
        <v>206.4</v>
      </c>
      <c r="H6" s="470">
        <v>9.4</v>
      </c>
      <c r="I6" s="1238" t="s">
        <v>919</v>
      </c>
      <c r="J6" s="118">
        <v>197</v>
      </c>
      <c r="K6" s="1190" t="s">
        <v>1006</v>
      </c>
      <c r="L6" s="513"/>
      <c r="M6" s="1300"/>
      <c r="O6" s="175" t="s">
        <v>115</v>
      </c>
      <c r="P6" s="103">
        <f>Q6+U6</f>
        <v>35</v>
      </c>
      <c r="Q6" s="265">
        <v>15</v>
      </c>
      <c r="R6" s="1219" t="s">
        <v>590</v>
      </c>
      <c r="T6" s="175" t="s">
        <v>115</v>
      </c>
      <c r="U6" s="257">
        <v>20</v>
      </c>
      <c r="V6" s="1219" t="s">
        <v>591</v>
      </c>
      <c r="W6" s="781"/>
      <c r="X6" s="781"/>
      <c r="Y6" s="1185" t="s">
        <v>62</v>
      </c>
      <c r="AA6" s="1239" t="s">
        <v>61</v>
      </c>
      <c r="AD6" s="33" t="str">
        <f>C6&amp;F6</f>
        <v>AustraliaLC bn</v>
      </c>
    </row>
    <row r="7" spans="1:30" ht="70" customHeight="1">
      <c r="A7" s="1268"/>
      <c r="B7" s="1268"/>
      <c r="C7" s="1256"/>
      <c r="D7" s="1253"/>
      <c r="F7" s="175" t="s">
        <v>116</v>
      </c>
      <c r="G7" s="251" t="e">
        <f>G6/#REF!</f>
        <v>#REF!</v>
      </c>
      <c r="H7" s="82" t="e">
        <f>H6/#REF!</f>
        <v>#REF!</v>
      </c>
      <c r="I7" s="1238"/>
      <c r="J7" s="251" t="e">
        <f>J6/VLOOKUP($C6,#REF!,7,0)</f>
        <v>#REF!</v>
      </c>
      <c r="K7" s="1191"/>
      <c r="L7" s="791"/>
      <c r="M7" s="1300"/>
      <c r="O7" s="175" t="s">
        <v>116</v>
      </c>
      <c r="P7" s="418" t="e">
        <f>P6/VLOOKUP(C6,#REF!,7,0)</f>
        <v>#REF!</v>
      </c>
      <c r="Q7" s="266" t="e">
        <f>Q6/VLOOKUP(C6,#REF!,7,0)</f>
        <v>#REF!</v>
      </c>
      <c r="R7" s="1219"/>
      <c r="T7" s="175" t="s">
        <v>116</v>
      </c>
      <c r="U7" s="285" t="e">
        <f>P7-Q7</f>
        <v>#REF!</v>
      </c>
      <c r="V7" s="1219"/>
      <c r="W7" s="781"/>
      <c r="X7" s="781"/>
      <c r="Y7" s="1185"/>
      <c r="AA7" s="1239"/>
      <c r="AD7" s="33" t="str">
        <f>C6&amp;F7</f>
        <v>AustraliaUSD bn</v>
      </c>
    </row>
    <row r="8" spans="1:30" ht="118" customHeight="1">
      <c r="A8" s="1268"/>
      <c r="B8" s="1268"/>
      <c r="C8" s="1257"/>
      <c r="D8" s="1254"/>
      <c r="E8" s="52"/>
      <c r="F8" s="53" t="s">
        <v>117</v>
      </c>
      <c r="G8" s="252" t="e">
        <f>(G6/VLOOKUP(C6,#REF!,4,0))*100</f>
        <v>#REF!</v>
      </c>
      <c r="H8" s="17" t="e">
        <f>(H6/VLOOKUP(C6,#REF!,4,0))*100</f>
        <v>#REF!</v>
      </c>
      <c r="I8" s="1192"/>
      <c r="J8" s="252" t="e">
        <f>(J6/VLOOKUP($C6,#REF!,4,0))*100</f>
        <v>#REF!</v>
      </c>
      <c r="K8" s="1192"/>
      <c r="L8" s="772"/>
      <c r="M8" s="1189"/>
      <c r="N8" s="52"/>
      <c r="O8" s="53" t="s">
        <v>117</v>
      </c>
      <c r="P8" s="173" t="e">
        <f>(P6/VLOOKUP(C6,#REF!,4,0))*100</f>
        <v>#REF!</v>
      </c>
      <c r="Q8" s="267" t="e">
        <f>(Q6/VLOOKUP(C6,#REF!,4,0))*100</f>
        <v>#REF!</v>
      </c>
      <c r="R8" s="1186"/>
      <c r="S8" s="52"/>
      <c r="T8" s="53" t="s">
        <v>117</v>
      </c>
      <c r="U8" s="77" t="e">
        <f>(U6/VLOOKUP(C6,#REF!,4,0))*100</f>
        <v>#REF!</v>
      </c>
      <c r="V8" s="1186"/>
      <c r="W8" s="767"/>
      <c r="X8" s="767"/>
      <c r="Y8" s="1186"/>
      <c r="Z8" s="52"/>
      <c r="AA8" s="1240"/>
      <c r="AD8" s="33" t="str">
        <f>C6&amp;F8</f>
        <v>Australia% GDP</v>
      </c>
    </row>
    <row r="9" spans="1:30" ht="60" customHeight="1">
      <c r="A9" s="1268">
        <v>1</v>
      </c>
      <c r="B9" s="1268" t="s">
        <v>858</v>
      </c>
      <c r="C9" s="1255" t="s">
        <v>1</v>
      </c>
      <c r="D9" s="1253" t="s">
        <v>571</v>
      </c>
      <c r="E9" s="16"/>
      <c r="F9" s="38" t="s">
        <v>115</v>
      </c>
      <c r="G9" s="253">
        <v>232</v>
      </c>
      <c r="H9" s="102">
        <v>19.8</v>
      </c>
      <c r="I9" s="1302" t="s">
        <v>1007</v>
      </c>
      <c r="J9" s="102">
        <v>212.2</v>
      </c>
      <c r="K9" s="1184" t="s">
        <v>920</v>
      </c>
      <c r="L9" s="102">
        <v>85</v>
      </c>
      <c r="M9" s="1184" t="s">
        <v>823</v>
      </c>
      <c r="N9" s="16"/>
      <c r="O9" s="38" t="s">
        <v>115</v>
      </c>
      <c r="P9" s="496">
        <f t="shared" ref="P9:P20" si="0">Q9+U9+W9</f>
        <v>91.7</v>
      </c>
      <c r="Q9" s="268">
        <v>5.2</v>
      </c>
      <c r="R9" s="1184" t="s">
        <v>921</v>
      </c>
      <c r="S9" s="16"/>
      <c r="T9" s="38" t="s">
        <v>115</v>
      </c>
      <c r="U9" s="253">
        <v>86.5</v>
      </c>
      <c r="V9" s="1184" t="s">
        <v>922</v>
      </c>
      <c r="W9" s="765"/>
      <c r="X9" s="765"/>
      <c r="Y9" s="765"/>
      <c r="Z9" s="15"/>
      <c r="AA9" s="786" t="s">
        <v>63</v>
      </c>
      <c r="AB9" s="1214" t="s">
        <v>213</v>
      </c>
      <c r="AD9" s="33" t="str">
        <f>C9&amp;F9</f>
        <v>CanadaLC bn</v>
      </c>
    </row>
    <row r="10" spans="1:30" ht="60" customHeight="1">
      <c r="A10" s="1268"/>
      <c r="B10" s="1268"/>
      <c r="C10" s="1256"/>
      <c r="D10" s="1253"/>
      <c r="E10" s="35"/>
      <c r="F10" s="175" t="s">
        <v>116</v>
      </c>
      <c r="G10" s="251" t="e">
        <f>G9/VLOOKUP(C9,#REF!,7,0)</f>
        <v>#REF!</v>
      </c>
      <c r="H10" s="103" t="e">
        <f>H9/VLOOKUP(C9,#REF!,7,0)</f>
        <v>#REF!</v>
      </c>
      <c r="I10" s="1221"/>
      <c r="J10" s="251" t="e">
        <f>J9/VLOOKUP($C9,#REF!,7,0)</f>
        <v>#REF!</v>
      </c>
      <c r="K10" s="1185"/>
      <c r="L10" s="251" t="e">
        <f>L9/VLOOKUP($C9,#REF!,7,0)</f>
        <v>#REF!</v>
      </c>
      <c r="M10" s="1185"/>
      <c r="N10" s="35"/>
      <c r="O10" s="175" t="s">
        <v>116</v>
      </c>
      <c r="P10" s="497" t="e">
        <f t="shared" si="0"/>
        <v>#REF!</v>
      </c>
      <c r="Q10" s="269" t="e">
        <f>Q9/VLOOKUP(C9,#REF!,7,0)</f>
        <v>#REF!</v>
      </c>
      <c r="R10" s="1185"/>
      <c r="S10" s="35"/>
      <c r="T10" s="175" t="s">
        <v>116</v>
      </c>
      <c r="U10" s="251" t="e">
        <f>U9/VLOOKUP(C9,#REF!,7,0)</f>
        <v>#REF!</v>
      </c>
      <c r="V10" s="1185"/>
      <c r="W10" s="766"/>
      <c r="X10" s="766"/>
      <c r="Y10" s="766"/>
      <c r="AA10" s="787"/>
      <c r="AB10" s="1215"/>
      <c r="AD10" s="33" t="str">
        <f>C9&amp;F10</f>
        <v>CanadaUSD bn</v>
      </c>
    </row>
    <row r="11" spans="1:30" ht="112" customHeight="1">
      <c r="A11" s="1268"/>
      <c r="B11" s="1268"/>
      <c r="C11" s="1257"/>
      <c r="D11" s="1254"/>
      <c r="E11" s="12"/>
      <c r="F11" s="53" t="s">
        <v>117</v>
      </c>
      <c r="G11" s="252" t="e">
        <f>(G9/VLOOKUP(C9,#REF!,4,0))*100</f>
        <v>#REF!</v>
      </c>
      <c r="H11" s="17" t="e">
        <f>(H9/VLOOKUP(C9,#REF!,4,0))*100</f>
        <v>#REF!</v>
      </c>
      <c r="I11" s="1222"/>
      <c r="J11" s="252" t="e">
        <f>(J9/VLOOKUP($C9,#REF!,4,0))*100</f>
        <v>#REF!</v>
      </c>
      <c r="K11" s="1186"/>
      <c r="L11" s="252" t="e">
        <f>(L9/VLOOKUP($C9,#REF!,4,0))*100</f>
        <v>#REF!</v>
      </c>
      <c r="M11" s="1186"/>
      <c r="N11" s="12"/>
      <c r="O11" s="53" t="s">
        <v>117</v>
      </c>
      <c r="P11" s="499" t="e">
        <f t="shared" si="0"/>
        <v>#REF!</v>
      </c>
      <c r="Q11" s="267" t="e">
        <f>(Q9/VLOOKUP(C9,#REF!,4,0))*100</f>
        <v>#REF!</v>
      </c>
      <c r="R11" s="1186"/>
      <c r="S11" s="12"/>
      <c r="T11" s="53" t="s">
        <v>117</v>
      </c>
      <c r="U11" s="252" t="e">
        <f>(U9/VLOOKUP(C9,#REF!,4,0))*100</f>
        <v>#REF!</v>
      </c>
      <c r="V11" s="1186"/>
      <c r="W11" s="767"/>
      <c r="X11" s="767"/>
      <c r="Y11" s="767"/>
      <c r="Z11" s="52"/>
      <c r="AA11" s="788"/>
      <c r="AB11" s="1215"/>
      <c r="AD11" s="33" t="str">
        <f>C9&amp;F11</f>
        <v>Canada% GDP</v>
      </c>
    </row>
    <row r="12" spans="1:30" ht="91.5" customHeight="1">
      <c r="A12" s="1268" t="s">
        <v>84</v>
      </c>
      <c r="B12" s="1268" t="s">
        <v>84</v>
      </c>
      <c r="C12" s="1255" t="s">
        <v>430</v>
      </c>
      <c r="D12" s="1253"/>
      <c r="E12" s="16"/>
      <c r="F12" s="175" t="s">
        <v>115</v>
      </c>
      <c r="G12" s="253">
        <v>427.8</v>
      </c>
      <c r="H12" s="62">
        <v>0.05</v>
      </c>
      <c r="I12" s="1220" t="s">
        <v>562</v>
      </c>
      <c r="J12" s="102">
        <v>427.8</v>
      </c>
      <c r="K12" s="1184" t="s">
        <v>1008</v>
      </c>
      <c r="L12" s="765"/>
      <c r="M12" s="765"/>
      <c r="N12" s="16"/>
      <c r="O12" s="175" t="s">
        <v>115</v>
      </c>
      <c r="P12" s="496">
        <f t="shared" si="0"/>
        <v>765</v>
      </c>
      <c r="Q12" s="270">
        <v>700</v>
      </c>
      <c r="R12" s="1190" t="s">
        <v>979</v>
      </c>
      <c r="S12" s="16"/>
      <c r="T12" s="175" t="s">
        <v>115</v>
      </c>
      <c r="U12" s="253">
        <v>65</v>
      </c>
      <c r="V12" s="1193" t="s">
        <v>477</v>
      </c>
      <c r="W12" s="773"/>
      <c r="X12" s="773"/>
      <c r="Y12" s="1184" t="s">
        <v>74</v>
      </c>
      <c r="Z12" s="15"/>
      <c r="AA12" s="22"/>
      <c r="AD12" s="33" t="str">
        <f>C12&amp;F12</f>
        <v>European UnionLC bn</v>
      </c>
    </row>
    <row r="13" spans="1:30" ht="115.5" customHeight="1">
      <c r="A13" s="1268"/>
      <c r="B13" s="1268"/>
      <c r="C13" s="1256"/>
      <c r="D13" s="1253"/>
      <c r="E13" s="35"/>
      <c r="F13" s="175" t="s">
        <v>116</v>
      </c>
      <c r="G13" s="251" t="e">
        <f>G12/VLOOKUP(C12,#REF!,6,0)</f>
        <v>#REF!</v>
      </c>
      <c r="H13" s="258" t="e">
        <f>H12/VLOOKUP($C12,#REF!,7,0)</f>
        <v>#REF!</v>
      </c>
      <c r="I13" s="1221"/>
      <c r="J13" s="251" t="e">
        <f>J12/VLOOKUP($C12,#REF!,7,0)</f>
        <v>#REF!</v>
      </c>
      <c r="K13" s="1185"/>
      <c r="L13" s="766"/>
      <c r="M13" s="766"/>
      <c r="N13" s="35"/>
      <c r="O13" s="175" t="s">
        <v>116</v>
      </c>
      <c r="P13" s="497" t="e">
        <f t="shared" si="0"/>
        <v>#REF!</v>
      </c>
      <c r="Q13" s="266" t="e">
        <f>Q12/VLOOKUP(C12,#REF!,7,0)</f>
        <v>#REF!</v>
      </c>
      <c r="R13" s="1191"/>
      <c r="S13" s="35"/>
      <c r="T13" s="175" t="s">
        <v>116</v>
      </c>
      <c r="U13" s="251" t="e">
        <f>U12/VLOOKUP(C12,#REF!,7,0)</f>
        <v>#REF!</v>
      </c>
      <c r="V13" s="1196"/>
      <c r="W13" s="774"/>
      <c r="X13" s="774"/>
      <c r="Y13" s="1185"/>
      <c r="AA13" s="787"/>
      <c r="AD13" s="33" t="str">
        <f>C12&amp;F13</f>
        <v>European UnionUSD bn</v>
      </c>
    </row>
    <row r="14" spans="1:30" ht="104.15" customHeight="1">
      <c r="A14" s="1268"/>
      <c r="B14" s="1268"/>
      <c r="C14" s="1257"/>
      <c r="D14" s="1254"/>
      <c r="E14" s="12"/>
      <c r="F14" s="53" t="s">
        <v>117</v>
      </c>
      <c r="G14" s="252" t="e">
        <f>(G12/VLOOKUP(C12,#REF!,4,0))*100</f>
        <v>#REF!</v>
      </c>
      <c r="H14" s="252" t="e">
        <f>(H12/VLOOKUP($C12,#REF!,4,0))*100</f>
        <v>#REF!</v>
      </c>
      <c r="I14" s="1222"/>
      <c r="J14" s="252" t="e">
        <f>(J12/VLOOKUP($C12,#REF!,4,0))*100</f>
        <v>#REF!</v>
      </c>
      <c r="K14" s="1186"/>
      <c r="L14" s="767"/>
      <c r="M14" s="767"/>
      <c r="N14" s="12"/>
      <c r="O14" s="53" t="s">
        <v>117</v>
      </c>
      <c r="P14" s="499" t="e">
        <f t="shared" si="0"/>
        <v>#REF!</v>
      </c>
      <c r="Q14" s="267" t="e">
        <f>(Q12/VLOOKUP(C12,#REF!,4,0))*100</f>
        <v>#REF!</v>
      </c>
      <c r="R14" s="1192"/>
      <c r="S14" s="12"/>
      <c r="T14" s="53" t="s">
        <v>117</v>
      </c>
      <c r="U14" s="252" t="e">
        <f>(U12/VLOOKUP(C12,#REF!,4,0))*100</f>
        <v>#REF!</v>
      </c>
      <c r="V14" s="1197"/>
      <c r="W14" s="775"/>
      <c r="X14" s="775"/>
      <c r="Y14" s="1186"/>
      <c r="Z14" s="52"/>
      <c r="AA14" s="788"/>
      <c r="AD14" s="33" t="str">
        <f>C12&amp;F14</f>
        <v>European Union% GDP</v>
      </c>
    </row>
    <row r="15" spans="1:30" ht="46" customHeight="1">
      <c r="A15" s="1268">
        <v>1</v>
      </c>
      <c r="B15" s="1268" t="s">
        <v>858</v>
      </c>
      <c r="C15" s="1256" t="s">
        <v>2</v>
      </c>
      <c r="D15" s="1253" t="s">
        <v>570</v>
      </c>
      <c r="E15" s="16"/>
      <c r="F15" s="175" t="s">
        <v>115</v>
      </c>
      <c r="G15" s="253">
        <f>H15+J15</f>
        <v>57.6</v>
      </c>
      <c r="H15" s="62">
        <v>8</v>
      </c>
      <c r="I15" s="1184" t="s">
        <v>563</v>
      </c>
      <c r="J15" s="177">
        <f>46.2+3.4</f>
        <v>49.6</v>
      </c>
      <c r="K15" s="1190" t="s">
        <v>980</v>
      </c>
      <c r="L15" s="177">
        <f>23+33.5</f>
        <v>56.5</v>
      </c>
      <c r="M15" s="1190" t="s">
        <v>981</v>
      </c>
      <c r="N15" s="16"/>
      <c r="O15" s="175" t="s">
        <v>115</v>
      </c>
      <c r="P15" s="496">
        <f t="shared" si="0"/>
        <v>349</v>
      </c>
      <c r="Q15" s="270">
        <v>21</v>
      </c>
      <c r="R15" s="1184" t="s">
        <v>545</v>
      </c>
      <c r="S15" s="16"/>
      <c r="T15" s="175" t="s">
        <v>115</v>
      </c>
      <c r="U15" s="253">
        <v>328</v>
      </c>
      <c r="V15" s="1184" t="s">
        <v>982</v>
      </c>
      <c r="W15" s="765"/>
      <c r="X15" s="765"/>
      <c r="Y15" s="765" t="s">
        <v>214</v>
      </c>
      <c r="Z15" s="15"/>
      <c r="AA15" s="786" t="s">
        <v>64</v>
      </c>
      <c r="AD15" s="33" t="str">
        <f>C15&amp;F15</f>
        <v>FranceLC bn</v>
      </c>
    </row>
    <row r="16" spans="1:30" ht="40" customHeight="1">
      <c r="A16" s="1268"/>
      <c r="B16" s="1268"/>
      <c r="C16" s="1256"/>
      <c r="D16" s="1253"/>
      <c r="E16" s="35"/>
      <c r="F16" s="175" t="s">
        <v>116</v>
      </c>
      <c r="G16" s="251" t="e">
        <f>G15/VLOOKUP(C15,#REF!,7,0)</f>
        <v>#REF!</v>
      </c>
      <c r="H16" s="82" t="e">
        <f>H15/VLOOKUP(C15,#REF!,7,0)</f>
        <v>#REF!</v>
      </c>
      <c r="I16" s="1185"/>
      <c r="J16" s="251" t="e">
        <f>J15/VLOOKUP($C15,#REF!,7,0)</f>
        <v>#REF!</v>
      </c>
      <c r="K16" s="1191"/>
      <c r="L16" s="251" t="e">
        <f>L15/VLOOKUP($C15,#REF!,7,0)</f>
        <v>#REF!</v>
      </c>
      <c r="M16" s="1191"/>
      <c r="N16" s="35"/>
      <c r="O16" s="175" t="s">
        <v>116</v>
      </c>
      <c r="P16" s="497" t="e">
        <f t="shared" si="0"/>
        <v>#REF!</v>
      </c>
      <c r="Q16" s="266" t="e">
        <f>Q15/VLOOKUP(C15,#REF!,7,0)</f>
        <v>#REF!</v>
      </c>
      <c r="R16" s="1185"/>
      <c r="S16" s="35"/>
      <c r="T16" s="175" t="s">
        <v>116</v>
      </c>
      <c r="U16" s="251" t="e">
        <f>U15/VLOOKUP(C15,#REF!,7,0)</f>
        <v>#REF!</v>
      </c>
      <c r="V16" s="1185"/>
      <c r="W16" s="766"/>
      <c r="X16" s="766"/>
      <c r="Y16" s="766"/>
      <c r="AA16" s="787"/>
      <c r="AD16" s="33" t="str">
        <f>C15&amp;F16</f>
        <v>FranceUSD bn</v>
      </c>
    </row>
    <row r="17" spans="1:30" s="2" customFormat="1" ht="43.5" customHeight="1">
      <c r="A17" s="1268"/>
      <c r="B17" s="1268"/>
      <c r="C17" s="1257"/>
      <c r="D17" s="1254"/>
      <c r="E17" s="12"/>
      <c r="F17" s="53" t="s">
        <v>117</v>
      </c>
      <c r="G17" s="252" t="e">
        <f>(G15/VLOOKUP(C15,#REF!,4,0))*100</f>
        <v>#REF!</v>
      </c>
      <c r="H17" s="17" t="e">
        <f>(H15/VLOOKUP(C15,#REF!,4,0))*100</f>
        <v>#REF!</v>
      </c>
      <c r="I17" s="1186"/>
      <c r="J17" s="252" t="e">
        <f>(J15/VLOOKUP($C15,#REF!,4,0))*100</f>
        <v>#REF!</v>
      </c>
      <c r="K17" s="1192"/>
      <c r="L17" s="252" t="e">
        <f>(L15/VLOOKUP($C15,#REF!,4,0))*100</f>
        <v>#REF!</v>
      </c>
      <c r="M17" s="1192"/>
      <c r="N17" s="12"/>
      <c r="O17" s="53" t="s">
        <v>117</v>
      </c>
      <c r="P17" s="499" t="e">
        <f t="shared" si="0"/>
        <v>#REF!</v>
      </c>
      <c r="Q17" s="267" t="e">
        <f>(Q15/VLOOKUP(C15,#REF!,4,0))*100</f>
        <v>#REF!</v>
      </c>
      <c r="R17" s="1186"/>
      <c r="S17" s="12"/>
      <c r="T17" s="53" t="s">
        <v>117</v>
      </c>
      <c r="U17" s="252" t="e">
        <f>(U15/VLOOKUP(C15,#REF!,4,0))*100</f>
        <v>#REF!</v>
      </c>
      <c r="V17" s="1186"/>
      <c r="W17" s="767"/>
      <c r="X17" s="767"/>
      <c r="Y17" s="767"/>
      <c r="Z17" s="52"/>
      <c r="AA17" s="788"/>
      <c r="AD17" s="33" t="str">
        <f>C15&amp;F17</f>
        <v>France% GDP</v>
      </c>
    </row>
    <row r="18" spans="1:30" s="229" customFormat="1" ht="50.15" customHeight="1">
      <c r="A18" s="1268">
        <v>1</v>
      </c>
      <c r="B18" s="1268" t="s">
        <v>858</v>
      </c>
      <c r="C18" s="1256" t="s">
        <v>3</v>
      </c>
      <c r="D18" s="1275" t="s">
        <v>570</v>
      </c>
      <c r="E18" s="16"/>
      <c r="F18" s="38" t="s">
        <v>115</v>
      </c>
      <c r="G18" s="253">
        <f>H18+J18</f>
        <v>304</v>
      </c>
      <c r="H18" s="102">
        <v>23</v>
      </c>
      <c r="I18" s="1220" t="s">
        <v>720</v>
      </c>
      <c r="J18" s="102">
        <v>281</v>
      </c>
      <c r="K18" s="1184" t="s">
        <v>825</v>
      </c>
      <c r="L18" s="776"/>
      <c r="M18" s="1184" t="s">
        <v>357</v>
      </c>
      <c r="N18" s="16"/>
      <c r="O18" s="38" t="s">
        <v>115</v>
      </c>
      <c r="P18" s="187">
        <f t="shared" si="0"/>
        <v>1020</v>
      </c>
      <c r="Q18" s="270">
        <v>200</v>
      </c>
      <c r="R18" s="1184" t="s">
        <v>289</v>
      </c>
      <c r="S18" s="16"/>
      <c r="T18" s="38" t="s">
        <v>115</v>
      </c>
      <c r="U18" s="253">
        <v>820</v>
      </c>
      <c r="V18" s="1184" t="s">
        <v>924</v>
      </c>
      <c r="W18" s="765"/>
      <c r="X18" s="765"/>
      <c r="Y18" s="1184" t="s">
        <v>65</v>
      </c>
      <c r="Z18" s="15"/>
      <c r="AA18" s="1225" t="s">
        <v>67</v>
      </c>
      <c r="AD18" s="33" t="str">
        <f>C18&amp;F18</f>
        <v>GermanyLC bn</v>
      </c>
    </row>
    <row r="19" spans="1:30" ht="50.15" customHeight="1">
      <c r="A19" s="1268"/>
      <c r="B19" s="1268"/>
      <c r="C19" s="1256"/>
      <c r="D19" s="1275"/>
      <c r="E19" s="35"/>
      <c r="F19" s="175" t="s">
        <v>116</v>
      </c>
      <c r="G19" s="251" t="e">
        <f>G18/VLOOKUP(C18,#REF!,7,0)</f>
        <v>#REF!</v>
      </c>
      <c r="H19" s="103" t="e">
        <f>H18/VLOOKUP(C18,#REF!,7,0)</f>
        <v>#REF!</v>
      </c>
      <c r="I19" s="1221"/>
      <c r="J19" s="251" t="e">
        <f>J18/VLOOKUP($C18,#REF!,7,0)</f>
        <v>#REF!</v>
      </c>
      <c r="K19" s="1219"/>
      <c r="L19" s="410"/>
      <c r="M19" s="1185"/>
      <c r="N19" s="35"/>
      <c r="O19" s="175" t="s">
        <v>116</v>
      </c>
      <c r="P19" s="256" t="e">
        <f t="shared" si="0"/>
        <v>#REF!</v>
      </c>
      <c r="Q19" s="266" t="e">
        <f>Q18/VLOOKUP(C18,#REF!,7,0)</f>
        <v>#REF!</v>
      </c>
      <c r="R19" s="1185"/>
      <c r="S19" s="35"/>
      <c r="T19" s="175" t="s">
        <v>116</v>
      </c>
      <c r="U19" s="251" t="e">
        <f>U18/VLOOKUP(C18,#REF!,7,0)</f>
        <v>#REF!</v>
      </c>
      <c r="V19" s="1185"/>
      <c r="W19" s="766"/>
      <c r="X19" s="766"/>
      <c r="Y19" s="1185"/>
      <c r="AA19" s="1226"/>
      <c r="AD19" s="33" t="str">
        <f>C18&amp;F19</f>
        <v>GermanyUSD bn</v>
      </c>
    </row>
    <row r="20" spans="1:30" ht="58.5" customHeight="1">
      <c r="A20" s="1268"/>
      <c r="B20" s="1268"/>
      <c r="C20" s="1257"/>
      <c r="D20" s="1276"/>
      <c r="E20" s="12"/>
      <c r="F20" s="53" t="s">
        <v>117</v>
      </c>
      <c r="G20" s="252" t="e">
        <f>(G18/VLOOKUP(C18,#REF!,4,0))*100</f>
        <v>#REF!</v>
      </c>
      <c r="H20" s="17" t="e">
        <f>(H18/VLOOKUP(C18,#REF!,4,0))*100</f>
        <v>#REF!</v>
      </c>
      <c r="I20" s="1222"/>
      <c r="J20" s="252" t="e">
        <f>(J18/VLOOKUP($C18,#REF!,4,0))*100</f>
        <v>#REF!</v>
      </c>
      <c r="K20" s="1186"/>
      <c r="L20" s="411"/>
      <c r="M20" s="1186"/>
      <c r="N20" s="12"/>
      <c r="O20" s="53" t="s">
        <v>117</v>
      </c>
      <c r="P20" s="499" t="e">
        <f t="shared" si="0"/>
        <v>#REF!</v>
      </c>
      <c r="Q20" s="267" t="e">
        <f>(Q18/VLOOKUP(C18,#REF!,4,0))*100</f>
        <v>#REF!</v>
      </c>
      <c r="R20" s="1186"/>
      <c r="S20" s="12"/>
      <c r="T20" s="53" t="s">
        <v>117</v>
      </c>
      <c r="U20" s="252" t="e">
        <f>(U18/VLOOKUP(C18,#REF!,4,0))*100</f>
        <v>#REF!</v>
      </c>
      <c r="V20" s="1186"/>
      <c r="W20" s="767"/>
      <c r="X20" s="767"/>
      <c r="Y20" s="1186"/>
      <c r="Z20" s="52"/>
      <c r="AA20" s="1227"/>
      <c r="AD20" s="33" t="str">
        <f>C18&amp;F20</f>
        <v>Germany% GDP</v>
      </c>
    </row>
    <row r="21" spans="1:30" ht="70" customHeight="1">
      <c r="A21" s="1268">
        <v>1</v>
      </c>
      <c r="B21" s="1268" t="s">
        <v>858</v>
      </c>
      <c r="C21" s="1256" t="s">
        <v>4</v>
      </c>
      <c r="D21" s="1253" t="s">
        <v>570</v>
      </c>
      <c r="E21" s="16"/>
      <c r="F21" s="175" t="s">
        <v>115</v>
      </c>
      <c r="G21" s="253">
        <v>80</v>
      </c>
      <c r="H21" s="62">
        <v>6.5</v>
      </c>
      <c r="I21" s="1220" t="s">
        <v>826</v>
      </c>
      <c r="J21" s="102">
        <v>73.5</v>
      </c>
      <c r="K21" s="1190" t="s">
        <v>925</v>
      </c>
      <c r="L21" s="62">
        <v>7</v>
      </c>
      <c r="M21" s="1190" t="s">
        <v>828</v>
      </c>
      <c r="N21" s="16"/>
      <c r="O21" s="175" t="s">
        <v>115</v>
      </c>
      <c r="P21" s="102">
        <f>Q21+U21</f>
        <v>533.29999999999995</v>
      </c>
      <c r="Q21" s="268">
        <v>3.3</v>
      </c>
      <c r="R21" s="1190" t="s">
        <v>604</v>
      </c>
      <c r="S21" s="16"/>
      <c r="T21" s="175" t="s">
        <v>115</v>
      </c>
      <c r="U21" s="253">
        <v>530</v>
      </c>
      <c r="V21" s="1190" t="s">
        <v>605</v>
      </c>
      <c r="W21" s="770"/>
      <c r="X21" s="1190"/>
      <c r="Y21" s="1184" t="s">
        <v>216</v>
      </c>
      <c r="Z21" s="15"/>
      <c r="AA21" s="786" t="s">
        <v>66</v>
      </c>
      <c r="AD21" s="33" t="str">
        <f>C21&amp;F21</f>
        <v>ItalyLC bn</v>
      </c>
    </row>
    <row r="22" spans="1:30" ht="70" customHeight="1">
      <c r="A22" s="1268"/>
      <c r="B22" s="1268"/>
      <c r="C22" s="1256"/>
      <c r="D22" s="1253"/>
      <c r="E22" s="35"/>
      <c r="F22" s="175" t="s">
        <v>116</v>
      </c>
      <c r="G22" s="251" t="e">
        <f>G21/VLOOKUP(C21,#REF!,7,0)</f>
        <v>#REF!</v>
      </c>
      <c r="H22" s="82" t="e">
        <f>H21/VLOOKUP(C21,#REF!,7,0)</f>
        <v>#REF!</v>
      </c>
      <c r="I22" s="1287"/>
      <c r="J22" s="251" t="e">
        <f>J21/VLOOKUP($C21,#REF!,7,0)</f>
        <v>#REF!</v>
      </c>
      <c r="K22" s="1191"/>
      <c r="L22" s="258" t="e">
        <f>L21/VLOOKUP($C21,#REF!,7,0)</f>
        <v>#REF!</v>
      </c>
      <c r="M22" s="1238"/>
      <c r="N22" s="35"/>
      <c r="O22" s="175" t="s">
        <v>116</v>
      </c>
      <c r="P22" s="251" t="e">
        <f>P21/VLOOKUP($C21,#REF!,7,0)</f>
        <v>#REF!</v>
      </c>
      <c r="Q22" s="258" t="e">
        <f>Q21/VLOOKUP($C21,#REF!,7,0)</f>
        <v>#REF!</v>
      </c>
      <c r="R22" s="1238"/>
      <c r="S22" s="35"/>
      <c r="T22" s="175" t="s">
        <v>116</v>
      </c>
      <c r="U22" s="251" t="e">
        <f>U21/VLOOKUP(C21,#REF!,7,0)</f>
        <v>#REF!</v>
      </c>
      <c r="V22" s="1191"/>
      <c r="W22" s="251"/>
      <c r="X22" s="1191"/>
      <c r="Y22" s="1185"/>
      <c r="AA22" s="197" t="s">
        <v>186</v>
      </c>
      <c r="AD22" s="33" t="str">
        <f>C21&amp;F22</f>
        <v>ItalyUSD bn</v>
      </c>
    </row>
    <row r="23" spans="1:30" ht="58.5" customHeight="1">
      <c r="A23" s="1268"/>
      <c r="B23" s="1268"/>
      <c r="C23" s="1257"/>
      <c r="D23" s="1254"/>
      <c r="E23" s="12"/>
      <c r="F23" s="53" t="s">
        <v>117</v>
      </c>
      <c r="G23" s="252" t="e">
        <f>(G21/VLOOKUP(C21,#REF!,4,0))*100</f>
        <v>#REF!</v>
      </c>
      <c r="H23" s="17" t="e">
        <f>(H21/VLOOKUP(C21,#REF!,4,0))*100</f>
        <v>#REF!</v>
      </c>
      <c r="I23" s="1222"/>
      <c r="J23" s="252" t="e">
        <f>(J21/VLOOKUP($C21,#REF!,4,0))*100</f>
        <v>#REF!</v>
      </c>
      <c r="K23" s="1192"/>
      <c r="L23" s="252" t="e">
        <f>(L21/VLOOKUP($C21,#REF!,4,0))*100</f>
        <v>#REF!</v>
      </c>
      <c r="M23" s="1192"/>
      <c r="N23" s="12"/>
      <c r="O23" s="53" t="s">
        <v>117</v>
      </c>
      <c r="P23" s="252" t="e">
        <f>(P21/VLOOKUP($C21,#REF!,4,0))*100</f>
        <v>#REF!</v>
      </c>
      <c r="Q23" s="252" t="e">
        <f>(Q21/VLOOKUP($C21,#REF!,4,0))*100</f>
        <v>#REF!</v>
      </c>
      <c r="R23" s="1192"/>
      <c r="S23" s="12"/>
      <c r="T23" s="53" t="s">
        <v>117</v>
      </c>
      <c r="U23" s="252" t="e">
        <f>(U21/VLOOKUP(C21,#REF!,4,0))*100</f>
        <v>#REF!</v>
      </c>
      <c r="V23" s="1192"/>
      <c r="W23" s="252"/>
      <c r="X23" s="1192"/>
      <c r="Y23" s="1186"/>
      <c r="Z23" s="52"/>
      <c r="AA23" s="788"/>
      <c r="AD23" s="33" t="str">
        <f>C21&amp;F23</f>
        <v>Italy% GDP</v>
      </c>
    </row>
    <row r="24" spans="1:30" ht="105" customHeight="1">
      <c r="A24" s="1268">
        <v>1</v>
      </c>
      <c r="B24" s="1268" t="s">
        <v>858</v>
      </c>
      <c r="C24" s="1301" t="s">
        <v>5</v>
      </c>
      <c r="D24" s="1277" t="s">
        <v>570</v>
      </c>
      <c r="E24" s="16"/>
      <c r="F24" s="520" t="s">
        <v>115</v>
      </c>
      <c r="G24" s="187">
        <f>H24+J24</f>
        <v>58800</v>
      </c>
      <c r="H24" s="187">
        <v>4300</v>
      </c>
      <c r="I24" s="1184" t="s">
        <v>926</v>
      </c>
      <c r="J24" s="187">
        <v>54500</v>
      </c>
      <c r="K24" s="1184" t="s">
        <v>927</v>
      </c>
      <c r="L24" s="187">
        <v>26000</v>
      </c>
      <c r="M24" s="1184" t="s">
        <v>546</v>
      </c>
      <c r="N24" s="16"/>
      <c r="O24" s="38" t="s">
        <v>115</v>
      </c>
      <c r="P24" s="408">
        <f>Q24+U24+W24</f>
        <v>124700</v>
      </c>
      <c r="Q24" s="521"/>
      <c r="R24" s="1305"/>
      <c r="S24" s="16"/>
      <c r="T24" s="38" t="s">
        <v>115</v>
      </c>
      <c r="U24" s="187">
        <v>15700</v>
      </c>
      <c r="V24" s="1305" t="s">
        <v>829</v>
      </c>
      <c r="W24" s="521">
        <v>109000</v>
      </c>
      <c r="X24" s="1305" t="s">
        <v>830</v>
      </c>
      <c r="Y24" s="1184" t="s">
        <v>298</v>
      </c>
      <c r="Z24" s="15"/>
      <c r="AA24" s="22"/>
      <c r="AD24" s="33" t="str">
        <f>C24&amp;F24</f>
        <v>JapanLC bn</v>
      </c>
    </row>
    <row r="25" spans="1:30" ht="82" customHeight="1">
      <c r="A25" s="1268"/>
      <c r="B25" s="1268"/>
      <c r="C25" s="1301"/>
      <c r="D25" s="1277"/>
      <c r="E25" s="6"/>
      <c r="F25" s="520" t="s">
        <v>116</v>
      </c>
      <c r="G25" s="522">
        <v>551.10682418759711</v>
      </c>
      <c r="H25" s="522">
        <v>40.302029659977343</v>
      </c>
      <c r="I25" s="1306"/>
      <c r="J25" s="522">
        <v>510.80479452761978</v>
      </c>
      <c r="K25" s="1219"/>
      <c r="L25" s="190">
        <v>243.68669096730486</v>
      </c>
      <c r="M25" s="1219"/>
      <c r="N25" s="6"/>
      <c r="O25" s="520" t="s">
        <v>116</v>
      </c>
      <c r="P25" s="256">
        <f t="shared" ref="P25:P26" si="1">Q25+U25+W25</f>
        <v>1168.7588601393429</v>
      </c>
      <c r="Q25" s="523"/>
      <c r="R25" s="1306"/>
      <c r="S25" s="6"/>
      <c r="T25" s="520" t="s">
        <v>116</v>
      </c>
      <c r="U25" s="522">
        <v>147.1492710841033</v>
      </c>
      <c r="V25" s="1306"/>
      <c r="W25" s="256">
        <v>1021.6095890552396</v>
      </c>
      <c r="X25" s="1306"/>
      <c r="Y25" s="1185"/>
      <c r="AA25" s="787"/>
      <c r="AD25" s="33" t="str">
        <f>C24&amp;F25</f>
        <v>JapanUSD bn</v>
      </c>
    </row>
    <row r="26" spans="1:30" s="2" customFormat="1" ht="114" customHeight="1">
      <c r="A26" s="1268"/>
      <c r="B26" s="1268"/>
      <c r="C26" s="1299"/>
      <c r="D26" s="1254"/>
      <c r="E26" s="12"/>
      <c r="F26" s="53" t="s">
        <v>117</v>
      </c>
      <c r="G26" s="17">
        <v>11.330991365634006</v>
      </c>
      <c r="H26" s="17">
        <v>0.82862691959568413</v>
      </c>
      <c r="I26" s="1307"/>
      <c r="J26" s="17">
        <v>10.502364446038321</v>
      </c>
      <c r="K26" s="1186"/>
      <c r="L26" s="790">
        <v>5.0103023045320434</v>
      </c>
      <c r="M26" s="1186"/>
      <c r="N26" s="12"/>
      <c r="O26" s="53" t="s">
        <v>117</v>
      </c>
      <c r="P26" s="17">
        <f t="shared" si="1"/>
        <v>24.030180668274838</v>
      </c>
      <c r="Q26" s="524"/>
      <c r="R26" s="1307"/>
      <c r="S26" s="12"/>
      <c r="T26" s="53" t="s">
        <v>117</v>
      </c>
      <c r="U26" s="17">
        <v>3.0254517761981954</v>
      </c>
      <c r="V26" s="1307"/>
      <c r="W26" s="524">
        <v>21.004728892076642</v>
      </c>
      <c r="X26" s="1307"/>
      <c r="Y26" s="1186"/>
      <c r="Z26" s="52"/>
      <c r="AA26" s="788"/>
      <c r="AD26" s="33" t="str">
        <f>C24&amp;F26</f>
        <v>Japan% GDP</v>
      </c>
    </row>
    <row r="27" spans="1:30" s="229" customFormat="1" ht="120" customHeight="1">
      <c r="A27" s="1268">
        <v>1</v>
      </c>
      <c r="B27" s="1268" t="s">
        <v>858</v>
      </c>
      <c r="C27" s="1301" t="s">
        <v>6</v>
      </c>
      <c r="D27" s="1253" t="s">
        <v>570</v>
      </c>
      <c r="E27" s="16"/>
      <c r="F27" s="38" t="s">
        <v>115</v>
      </c>
      <c r="G27" s="189">
        <f>H27+J27</f>
        <v>58100</v>
      </c>
      <c r="H27" s="550">
        <v>4600</v>
      </c>
      <c r="I27" s="1278" t="s">
        <v>884</v>
      </c>
      <c r="J27" s="189">
        <v>53500</v>
      </c>
      <c r="K27" s="1190" t="s">
        <v>928</v>
      </c>
      <c r="L27" s="189">
        <v>33000</v>
      </c>
      <c r="M27" s="1190" t="s">
        <v>893</v>
      </c>
      <c r="N27" s="16"/>
      <c r="O27" s="38" t="s">
        <v>115</v>
      </c>
      <c r="P27" s="416">
        <f>Q27+U27+W27</f>
        <v>204100</v>
      </c>
      <c r="Q27" s="416"/>
      <c r="R27" s="1193"/>
      <c r="S27" s="16"/>
      <c r="T27" s="38" t="s">
        <v>115</v>
      </c>
      <c r="U27" s="417">
        <v>34100</v>
      </c>
      <c r="V27" s="1190" t="s">
        <v>890</v>
      </c>
      <c r="W27" s="417">
        <v>170000</v>
      </c>
      <c r="X27" s="1184" t="s">
        <v>929</v>
      </c>
      <c r="Y27" s="1184" t="s">
        <v>70</v>
      </c>
      <c r="Z27" s="15"/>
      <c r="AA27" s="1225" t="s">
        <v>69</v>
      </c>
      <c r="AD27" s="33" t="str">
        <f>C27&amp;F27</f>
        <v>KoreaLC bn</v>
      </c>
    </row>
    <row r="28" spans="1:30" ht="120" customHeight="1">
      <c r="A28" s="1268"/>
      <c r="B28" s="1268"/>
      <c r="C28" s="1301"/>
      <c r="D28" s="1253"/>
      <c r="E28" s="35"/>
      <c r="F28" s="175" t="s">
        <v>116</v>
      </c>
      <c r="G28" s="418" t="e">
        <f>G27/VLOOKUP(C27,#REF!,7,0)</f>
        <v>#REF!</v>
      </c>
      <c r="H28" s="172" t="e">
        <f>H27/VLOOKUP(C27,#REF!,7,0)</f>
        <v>#REF!</v>
      </c>
      <c r="I28" s="1304"/>
      <c r="J28" s="251" t="e">
        <f>J27/VLOOKUP($C27,#REF!,7,0)</f>
        <v>#REF!</v>
      </c>
      <c r="K28" s="1191"/>
      <c r="L28" s="251" t="e">
        <f>L27/VLOOKUP($C27,#REF!,7,0)</f>
        <v>#REF!</v>
      </c>
      <c r="M28" s="1191"/>
      <c r="N28" s="35"/>
      <c r="O28" s="175" t="s">
        <v>116</v>
      </c>
      <c r="P28" s="251" t="e">
        <f>P27/VLOOKUP($C27,#REF!,7,0)</f>
        <v>#REF!</v>
      </c>
      <c r="Q28" s="272"/>
      <c r="R28" s="1196"/>
      <c r="S28" s="35"/>
      <c r="T28" s="175" t="s">
        <v>116</v>
      </c>
      <c r="U28" s="418" t="e">
        <f>U27/VLOOKUP(C27,#REF!,7,0)</f>
        <v>#REF!</v>
      </c>
      <c r="V28" s="1191"/>
      <c r="W28" s="659" t="e">
        <f>W27/VLOOKUP(C27,#REF!,7,0)</f>
        <v>#REF!</v>
      </c>
      <c r="X28" s="1185"/>
      <c r="Y28" s="1185"/>
      <c r="AA28" s="1226"/>
      <c r="AD28" s="33" t="str">
        <f>C27&amp;F28</f>
        <v>KoreaUSD bn</v>
      </c>
    </row>
    <row r="29" spans="1:30" ht="127" customHeight="1">
      <c r="A29" s="1268"/>
      <c r="B29" s="1268"/>
      <c r="C29" s="1299"/>
      <c r="D29" s="1254"/>
      <c r="E29" s="12"/>
      <c r="F29" s="53" t="s">
        <v>117</v>
      </c>
      <c r="G29" s="173" t="e">
        <f>(G27/VLOOKUP(C27,#REF!,4,0))*100</f>
        <v>#REF!</v>
      </c>
      <c r="H29" s="173" t="e">
        <f>(H27/VLOOKUP(C27,#REF!,4,0))*100</f>
        <v>#REF!</v>
      </c>
      <c r="I29" s="1280"/>
      <c r="J29" s="252" t="e">
        <f>(J27/VLOOKUP($C27,#REF!,4,0))*100</f>
        <v>#REF!</v>
      </c>
      <c r="K29" s="1192"/>
      <c r="L29" s="252" t="e">
        <f>(L27/VLOOKUP($C27,#REF!,4,0))*100</f>
        <v>#REF!</v>
      </c>
      <c r="M29" s="1192"/>
      <c r="N29" s="12"/>
      <c r="O29" s="53" t="s">
        <v>117</v>
      </c>
      <c r="P29" s="252" t="e">
        <f>(P27/VLOOKUP($C27,#REF!,4,0))*100</f>
        <v>#REF!</v>
      </c>
      <c r="Q29" s="273"/>
      <c r="R29" s="1197"/>
      <c r="S29" s="12"/>
      <c r="T29" s="53" t="s">
        <v>117</v>
      </c>
      <c r="U29" s="172" t="e">
        <f>(U27/VLOOKUP(C27,#REF!,4,0))*100</f>
        <v>#REF!</v>
      </c>
      <c r="V29" s="1192"/>
      <c r="W29" s="660" t="e">
        <f>(W27/VLOOKUP(C27,#REF!,4,0))*100</f>
        <v>#REF!</v>
      </c>
      <c r="X29" s="1186"/>
      <c r="Y29" s="1186"/>
      <c r="Z29" s="52"/>
      <c r="AA29" s="1227"/>
      <c r="AD29" s="33" t="str">
        <f>C27&amp;F29</f>
        <v>Korea% GDP</v>
      </c>
    </row>
    <row r="30" spans="1:30" s="796" customFormat="1" ht="127" customHeight="1">
      <c r="A30" s="1268">
        <v>1</v>
      </c>
      <c r="B30" s="1268" t="s">
        <v>858</v>
      </c>
      <c r="C30" s="1301" t="s">
        <v>32</v>
      </c>
      <c r="D30" s="1253" t="s">
        <v>570</v>
      </c>
      <c r="E30" s="795"/>
      <c r="F30" s="38" t="s">
        <v>115</v>
      </c>
      <c r="G30" s="255">
        <v>36.4</v>
      </c>
      <c r="H30" s="776">
        <v>4.3</v>
      </c>
      <c r="I30" s="1233" t="s">
        <v>564</v>
      </c>
      <c r="J30" s="177">
        <v>32.1</v>
      </c>
      <c r="K30" s="1190" t="s">
        <v>831</v>
      </c>
      <c r="L30" s="784"/>
      <c r="M30" s="1184" t="s">
        <v>722</v>
      </c>
      <c r="N30" s="795"/>
      <c r="O30" s="175" t="s">
        <v>115</v>
      </c>
      <c r="P30" s="799">
        <f>Q30+U30+W30</f>
        <v>155.024</v>
      </c>
      <c r="Q30" s="276">
        <v>0.124</v>
      </c>
      <c r="R30" s="1184" t="s">
        <v>875</v>
      </c>
      <c r="S30" s="795"/>
      <c r="T30" s="175" t="s">
        <v>115</v>
      </c>
      <c r="U30" s="255">
        <v>144.9</v>
      </c>
      <c r="V30" s="1184" t="s">
        <v>930</v>
      </c>
      <c r="W30" s="255">
        <v>10</v>
      </c>
      <c r="X30" s="1184" t="s">
        <v>219</v>
      </c>
      <c r="Y30" s="765"/>
      <c r="Z30" s="795"/>
      <c r="AA30" s="1225" t="s">
        <v>49</v>
      </c>
      <c r="AB30" s="796">
        <f>849+223</f>
        <v>1072</v>
      </c>
      <c r="AD30" s="33" t="str">
        <f>C30&amp;F30</f>
        <v>SpainLC bn</v>
      </c>
    </row>
    <row r="31" spans="1:30" s="55" customFormat="1" ht="150" customHeight="1">
      <c r="A31" s="1268"/>
      <c r="B31" s="1268"/>
      <c r="C31" s="1301"/>
      <c r="D31" s="1253"/>
      <c r="E31" s="796"/>
      <c r="F31" s="175" t="s">
        <v>116</v>
      </c>
      <c r="G31" s="251" t="e">
        <f>G30/VLOOKUP(C30,#REF!,7,0)</f>
        <v>#REF!</v>
      </c>
      <c r="H31" s="785" t="e">
        <f>H30/VLOOKUP(C30,#REF!,7,0)</f>
        <v>#REF!</v>
      </c>
      <c r="I31" s="1221"/>
      <c r="J31" s="251" t="e">
        <f>J30/VLOOKUP($C30,#REF!,7,0)</f>
        <v>#REF!</v>
      </c>
      <c r="K31" s="1238"/>
      <c r="L31" s="258"/>
      <c r="M31" s="1185"/>
      <c r="N31" s="796"/>
      <c r="O31" s="175" t="s">
        <v>116</v>
      </c>
      <c r="P31" s="800" t="e">
        <f>Q31+U31+W31</f>
        <v>#REF!</v>
      </c>
      <c r="Q31" s="279" t="e">
        <f>Q30/VLOOKUP(C30,#REF!,7,0)</f>
        <v>#REF!</v>
      </c>
      <c r="R31" s="1185"/>
      <c r="S31" s="796"/>
      <c r="T31" s="175" t="s">
        <v>116</v>
      </c>
      <c r="U31" s="251" t="e">
        <f>U30/VLOOKUP(C30,#REF!,7,0)</f>
        <v>#REF!</v>
      </c>
      <c r="V31" s="1185"/>
      <c r="W31" s="251" t="e">
        <f>W30/VLOOKUP($C30,#REF!,7,0)</f>
        <v>#REF!</v>
      </c>
      <c r="X31" s="1185"/>
      <c r="Y31" s="766"/>
      <c r="Z31" s="796"/>
      <c r="AA31" s="1226"/>
      <c r="AD31" s="33" t="str">
        <f>C30&amp;F31</f>
        <v>SpainUSD bn</v>
      </c>
    </row>
    <row r="32" spans="1:30" ht="177.65" customHeight="1">
      <c r="A32" s="1268"/>
      <c r="B32" s="1268"/>
      <c r="C32" s="1299"/>
      <c r="D32" s="1254"/>
      <c r="E32" s="12"/>
      <c r="F32" s="53" t="s">
        <v>117</v>
      </c>
      <c r="G32" s="252" t="e">
        <f>(G30/VLOOKUP(C30,#REF!,4,0))*100</f>
        <v>#REF!</v>
      </c>
      <c r="H32" s="808" t="e">
        <f>(H30/VLOOKUP(C30,#REF!,4,0))*100</f>
        <v>#REF!</v>
      </c>
      <c r="I32" s="1222"/>
      <c r="J32" s="252" t="e">
        <f>(J30/VLOOKUP($C30,#REF!,4,0))*100</f>
        <v>#REF!</v>
      </c>
      <c r="K32" s="1192"/>
      <c r="L32" s="252"/>
      <c r="M32" s="1186"/>
      <c r="N32" s="12"/>
      <c r="O32" s="53" t="s">
        <v>117</v>
      </c>
      <c r="P32" s="410" t="e">
        <f>Q32+U32+W32</f>
        <v>#REF!</v>
      </c>
      <c r="Q32" s="267" t="e">
        <f>(Q30/VLOOKUP(C30,#REF!,4,0))*100</f>
        <v>#REF!</v>
      </c>
      <c r="R32" s="1186"/>
      <c r="S32" s="12"/>
      <c r="T32" s="53" t="s">
        <v>117</v>
      </c>
      <c r="U32" s="252" t="e">
        <f>(U30/VLOOKUP(C30,#REF!,4,0))*100</f>
        <v>#REF!</v>
      </c>
      <c r="V32" s="1186"/>
      <c r="W32" s="252" t="e">
        <f>(W30/VLOOKUP($C30,#REF!,4,0))*100</f>
        <v>#REF!</v>
      </c>
      <c r="X32" s="1186"/>
      <c r="Y32" s="767"/>
      <c r="Z32" s="52"/>
      <c r="AA32" s="1227"/>
      <c r="AD32" s="33" t="str">
        <f>C30&amp;F32</f>
        <v>Spain% GDP</v>
      </c>
    </row>
    <row r="33" spans="1:30" ht="100" customHeight="1">
      <c r="A33" s="1268">
        <v>1</v>
      </c>
      <c r="B33" s="1268" t="s">
        <v>858</v>
      </c>
      <c r="C33" s="1256" t="s">
        <v>7</v>
      </c>
      <c r="D33" s="1253" t="s">
        <v>571</v>
      </c>
      <c r="E33" s="16"/>
      <c r="F33" s="175" t="s">
        <v>115</v>
      </c>
      <c r="G33" s="253">
        <f>H33+J33</f>
        <v>188.40000000000003</v>
      </c>
      <c r="H33" s="102">
        <f>31.7+0.1</f>
        <v>31.8</v>
      </c>
      <c r="I33" s="1220" t="s">
        <v>984</v>
      </c>
      <c r="J33" s="102">
        <f>140.8+15.8</f>
        <v>156.60000000000002</v>
      </c>
      <c r="K33" s="1193" t="s">
        <v>983</v>
      </c>
      <c r="L33" s="784">
        <v>4</v>
      </c>
      <c r="M33" s="1184" t="s">
        <v>939</v>
      </c>
      <c r="N33" s="16"/>
      <c r="O33" s="175" t="s">
        <v>115</v>
      </c>
      <c r="P33" s="102">
        <f>Q33+U33+W33</f>
        <v>341</v>
      </c>
      <c r="Q33" s="268">
        <v>1</v>
      </c>
      <c r="R33" s="1190" t="s">
        <v>723</v>
      </c>
      <c r="S33" s="16"/>
      <c r="T33" s="175" t="s">
        <v>115</v>
      </c>
      <c r="U33" s="253">
        <v>340</v>
      </c>
      <c r="V33" s="1190" t="s">
        <v>799</v>
      </c>
      <c r="W33" s="792"/>
      <c r="X33" s="1184"/>
      <c r="Y33" s="1244" t="s">
        <v>72</v>
      </c>
      <c r="Z33" s="15"/>
      <c r="AA33" s="1235" t="s">
        <v>71</v>
      </c>
      <c r="AD33" s="33" t="str">
        <f>C33&amp;F33</f>
        <v>United KingdomLC bn</v>
      </c>
    </row>
    <row r="34" spans="1:30" ht="113.5" customHeight="1">
      <c r="A34" s="1268"/>
      <c r="B34" s="1268"/>
      <c r="C34" s="1256"/>
      <c r="D34" s="1253"/>
      <c r="E34" s="35"/>
      <c r="F34" s="175" t="s">
        <v>116</v>
      </c>
      <c r="G34" s="251" t="e">
        <f>G33/VLOOKUP(C33,#REF!,7,0)</f>
        <v>#REF!</v>
      </c>
      <c r="H34" s="103" t="e">
        <f>H33/VLOOKUP(C33,#REF!,7,0)</f>
        <v>#REF!</v>
      </c>
      <c r="I34" s="1221"/>
      <c r="J34" s="118" t="e">
        <f>G34-H34</f>
        <v>#REF!</v>
      </c>
      <c r="K34" s="1196"/>
      <c r="L34" s="784" t="e">
        <f>L33/VLOOKUP($C33,#REF!,7,0)</f>
        <v>#REF!</v>
      </c>
      <c r="M34" s="1185"/>
      <c r="N34" s="35"/>
      <c r="O34" s="175" t="s">
        <v>116</v>
      </c>
      <c r="P34" s="103" t="e">
        <f>P33/VLOOKUP(C33,#REF!,7,0)</f>
        <v>#REF!</v>
      </c>
      <c r="Q34" s="269" t="e">
        <f>Q33/VLOOKUP(C33,#REF!,7,0)</f>
        <v>#REF!</v>
      </c>
      <c r="R34" s="1191"/>
      <c r="S34" s="35"/>
      <c r="T34" s="175" t="s">
        <v>116</v>
      </c>
      <c r="U34" s="251" t="e">
        <f>U33/VLOOKUP(C33,#REF!,7,0)</f>
        <v>#REF!</v>
      </c>
      <c r="V34" s="1191"/>
      <c r="W34" s="766"/>
      <c r="X34" s="1185"/>
      <c r="Y34" s="1245"/>
      <c r="AA34" s="1236"/>
      <c r="AD34" s="33" t="str">
        <f>C33&amp;F34</f>
        <v>United KingdomUSD bn</v>
      </c>
    </row>
    <row r="35" spans="1:30" s="2" customFormat="1" ht="217" customHeight="1">
      <c r="A35" s="1268"/>
      <c r="B35" s="1268"/>
      <c r="C35" s="1257"/>
      <c r="D35" s="1254"/>
      <c r="E35" s="12"/>
      <c r="F35" s="53" t="s">
        <v>117</v>
      </c>
      <c r="G35" s="252" t="e">
        <f>(G33/VLOOKUP(C33,#REF!,4,0))*100</f>
        <v>#REF!</v>
      </c>
      <c r="H35" s="17" t="e">
        <f>(H33/VLOOKUP(C33,#REF!,4,0))*100</f>
        <v>#REF!</v>
      </c>
      <c r="I35" s="1222"/>
      <c r="J35" s="790" t="e">
        <f>G35-H35</f>
        <v>#REF!</v>
      </c>
      <c r="K35" s="1197"/>
      <c r="L35" s="790" t="e">
        <f>(L33/VLOOKUP($C33,#REF!,4,0))*100</f>
        <v>#REF!</v>
      </c>
      <c r="M35" s="1186"/>
      <c r="N35" s="12"/>
      <c r="O35" s="53" t="s">
        <v>117</v>
      </c>
      <c r="P35" s="17" t="e">
        <f>(P33/VLOOKUP(C33,#REF!,4,0))*100</f>
        <v>#REF!</v>
      </c>
      <c r="Q35" s="267" t="e">
        <f>(Q33/VLOOKUP(C33,#REF!,4,0))*100</f>
        <v>#REF!</v>
      </c>
      <c r="R35" s="1192"/>
      <c r="S35" s="12"/>
      <c r="T35" s="53" t="s">
        <v>117</v>
      </c>
      <c r="U35" s="252" t="e">
        <f>(U33/VLOOKUP(C33,#REF!,4,0))*100</f>
        <v>#REF!</v>
      </c>
      <c r="V35" s="1192"/>
      <c r="W35" s="767"/>
      <c r="X35" s="1186"/>
      <c r="Y35" s="1246"/>
      <c r="Z35" s="52"/>
      <c r="AA35" s="1237"/>
      <c r="AD35" s="33" t="str">
        <f>C33&amp;F35</f>
        <v>United Kingdom% GDP</v>
      </c>
    </row>
    <row r="36" spans="1:30" s="229" customFormat="1" ht="169" customHeight="1">
      <c r="A36" s="1268">
        <v>1</v>
      </c>
      <c r="B36" s="1268" t="s">
        <v>858</v>
      </c>
      <c r="C36" s="1255" t="s">
        <v>8</v>
      </c>
      <c r="D36" s="1252" t="s">
        <v>571</v>
      </c>
      <c r="E36" s="16"/>
      <c r="F36" s="38" t="s">
        <v>115</v>
      </c>
      <c r="G36" s="416">
        <f>H36+J36</f>
        <v>2431</v>
      </c>
      <c r="H36" s="102">
        <v>304</v>
      </c>
      <c r="I36" s="1233" t="s">
        <v>833</v>
      </c>
      <c r="J36" s="416">
        <f>528+1599</f>
        <v>2127</v>
      </c>
      <c r="K36" s="1193" t="s">
        <v>1009</v>
      </c>
      <c r="L36" s="776">
        <v>12</v>
      </c>
      <c r="M36" s="1184" t="s">
        <v>807</v>
      </c>
      <c r="N36" s="16"/>
      <c r="O36" s="38" t="s">
        <v>115</v>
      </c>
      <c r="P36" s="496">
        <f t="shared" ref="P36:P38" si="2">Q36+U36+W36</f>
        <v>510</v>
      </c>
      <c r="Q36" s="471">
        <v>56</v>
      </c>
      <c r="R36" s="1190" t="s">
        <v>608</v>
      </c>
      <c r="S36" s="16"/>
      <c r="T36" s="38" t="s">
        <v>115</v>
      </c>
      <c r="U36" s="253">
        <v>454</v>
      </c>
      <c r="V36" s="1184" t="s">
        <v>275</v>
      </c>
      <c r="W36" s="765"/>
      <c r="X36" s="765"/>
      <c r="Y36" s="1184" t="s">
        <v>73</v>
      </c>
      <c r="Z36" s="15"/>
      <c r="AA36" s="22"/>
      <c r="AD36" s="33" t="str">
        <f>C36&amp;F36</f>
        <v>United StatesLC bn</v>
      </c>
    </row>
    <row r="37" spans="1:30" ht="150" customHeight="1">
      <c r="A37" s="1268"/>
      <c r="B37" s="1268"/>
      <c r="C37" s="1256"/>
      <c r="D37" s="1253"/>
      <c r="E37" s="35"/>
      <c r="F37" s="175" t="s">
        <v>116</v>
      </c>
      <c r="G37" s="256" t="e">
        <f>G36/VLOOKUP(C36,#REF!,7,0)</f>
        <v>#REF!</v>
      </c>
      <c r="H37" s="103" t="e">
        <f>H36/VLOOKUP(C36,#REF!,7,0)</f>
        <v>#REF!</v>
      </c>
      <c r="I37" s="1247"/>
      <c r="J37" s="256" t="e">
        <f>J36/VLOOKUP($C36,#REF!,7,0)</f>
        <v>#REF!</v>
      </c>
      <c r="K37" s="1196"/>
      <c r="L37" s="777" t="e">
        <f>L36/VLOOKUP($C36,#REF!,7,0)</f>
        <v>#REF!</v>
      </c>
      <c r="M37" s="1185"/>
      <c r="N37" s="35"/>
      <c r="O37" s="175" t="s">
        <v>116</v>
      </c>
      <c r="P37" s="497" t="e">
        <f t="shared" si="2"/>
        <v>#REF!</v>
      </c>
      <c r="Q37" s="266" t="e">
        <f>Q36/VLOOKUP(C36,#REF!,7,0)</f>
        <v>#REF!</v>
      </c>
      <c r="R37" s="1191"/>
      <c r="S37" s="35"/>
      <c r="T37" s="175" t="s">
        <v>116</v>
      </c>
      <c r="U37" s="285" t="e">
        <f>U36/VLOOKUP(C36,#REF!,7,0)</f>
        <v>#REF!</v>
      </c>
      <c r="V37" s="1185"/>
      <c r="W37" s="766"/>
      <c r="X37" s="766"/>
      <c r="Y37" s="1185"/>
      <c r="AA37" s="787"/>
      <c r="AD37" s="33" t="str">
        <f>C36&amp;F37</f>
        <v>United StatesUSD bn</v>
      </c>
    </row>
    <row r="38" spans="1:30" ht="137.15" customHeight="1">
      <c r="A38" s="1268"/>
      <c r="B38" s="1268"/>
      <c r="C38" s="1257"/>
      <c r="D38" s="1254"/>
      <c r="E38" s="12"/>
      <c r="F38" s="53" t="s">
        <v>117</v>
      </c>
      <c r="G38" s="252" t="e">
        <f>(G36/VLOOKUP(C36,#REF!,4,0))*100</f>
        <v>#REF!</v>
      </c>
      <c r="H38" s="17" t="e">
        <f>(H36/VLOOKUP(C36,#REF!,4,0))*100</f>
        <v>#REF!</v>
      </c>
      <c r="I38" s="1248"/>
      <c r="J38" s="252" t="e">
        <f>(J36/VLOOKUP($C36,#REF!,4,0))*100</f>
        <v>#REF!</v>
      </c>
      <c r="K38" s="1197"/>
      <c r="L38" s="790" t="e">
        <f>(L36/VLOOKUP($C36,#REF!,4,0))*100</f>
        <v>#REF!</v>
      </c>
      <c r="M38" s="1186"/>
      <c r="N38" s="12"/>
      <c r="O38" s="53" t="s">
        <v>117</v>
      </c>
      <c r="P38" s="499" t="e">
        <f t="shared" si="2"/>
        <v>#REF!</v>
      </c>
      <c r="Q38" s="267" t="e">
        <f>(Q36/VLOOKUP(C36,#REF!,4,0))*100</f>
        <v>#REF!</v>
      </c>
      <c r="R38" s="1192"/>
      <c r="S38" s="12"/>
      <c r="T38" s="53" t="s">
        <v>117</v>
      </c>
      <c r="U38" s="78" t="e">
        <f>(U36/VLOOKUP(C36,#REF!,4,0))*100</f>
        <v>#REF!</v>
      </c>
      <c r="V38" s="1186"/>
      <c r="W38" s="767"/>
      <c r="X38" s="767"/>
      <c r="Y38" s="1186"/>
      <c r="Z38" s="52"/>
      <c r="AA38" s="788"/>
      <c r="AD38" s="33" t="str">
        <f>C36&amp;F38</f>
        <v>United States% GDP</v>
      </c>
    </row>
    <row r="39" spans="1:30" ht="103" customHeight="1">
      <c r="A39" s="1268">
        <v>1</v>
      </c>
      <c r="B39" s="1268" t="s">
        <v>861</v>
      </c>
      <c r="C39" s="1256" t="s">
        <v>9</v>
      </c>
      <c r="D39" s="1253" t="s">
        <v>571</v>
      </c>
      <c r="E39" s="35"/>
      <c r="F39" s="175" t="s">
        <v>115</v>
      </c>
      <c r="G39" s="121">
        <f>H39+J39</f>
        <v>834.2</v>
      </c>
      <c r="H39" s="103">
        <v>47.5</v>
      </c>
      <c r="I39" s="1278" t="s">
        <v>1195</v>
      </c>
      <c r="J39" s="103">
        <f>707+79.7</f>
        <v>786.7</v>
      </c>
      <c r="K39" s="1190" t="s">
        <v>940</v>
      </c>
      <c r="L39" s="103">
        <v>10</v>
      </c>
      <c r="M39" s="1190" t="s">
        <v>835</v>
      </c>
      <c r="N39" s="35"/>
      <c r="O39" s="175" t="s">
        <v>115</v>
      </c>
      <c r="P39" s="251">
        <f>Q39+U39+W39</f>
        <v>571.79999999999995</v>
      </c>
      <c r="Q39" s="269"/>
      <c r="R39" s="1190"/>
      <c r="S39" s="35"/>
      <c r="T39" s="175" t="s">
        <v>115</v>
      </c>
      <c r="U39" s="418">
        <v>571.79999999999995</v>
      </c>
      <c r="V39" s="1190" t="s">
        <v>882</v>
      </c>
      <c r="W39" s="766"/>
      <c r="X39" s="1184"/>
      <c r="Y39" s="58"/>
      <c r="AA39" s="58"/>
      <c r="AD39" s="33" t="str">
        <f>C39&amp;F39</f>
        <v>ArgentinaLC bn</v>
      </c>
    </row>
    <row r="40" spans="1:30" ht="120" customHeight="1">
      <c r="A40" s="1268"/>
      <c r="B40" s="1268"/>
      <c r="C40" s="1256"/>
      <c r="D40" s="1253"/>
      <c r="E40" s="35"/>
      <c r="F40" s="175" t="s">
        <v>116</v>
      </c>
      <c r="G40" s="257" t="e">
        <f>G39/VLOOKUP(C39,#REF!,7,0)</f>
        <v>#REF!</v>
      </c>
      <c r="H40" s="82" t="e">
        <f>H39/VLOOKUP(C39,#REF!,7,0)</f>
        <v>#REF!</v>
      </c>
      <c r="I40" s="1304"/>
      <c r="J40" s="251" t="e">
        <f>G40-H40</f>
        <v>#REF!</v>
      </c>
      <c r="K40" s="1191"/>
      <c r="L40" s="258" t="e">
        <f>L39/VLOOKUP($C39,#REF!,7,0)</f>
        <v>#REF!</v>
      </c>
      <c r="M40" s="1191"/>
      <c r="N40" s="35"/>
      <c r="O40" s="175" t="s">
        <v>116</v>
      </c>
      <c r="P40" s="258" t="e">
        <f>P39/VLOOKUP($C39,#REF!,7,0)</f>
        <v>#REF!</v>
      </c>
      <c r="Q40" s="269"/>
      <c r="R40" s="1191"/>
      <c r="S40" s="35"/>
      <c r="T40" s="175" t="s">
        <v>116</v>
      </c>
      <c r="U40" s="258" t="e">
        <f>U39/VLOOKUP($C39,#REF!,7,0)</f>
        <v>#REF!</v>
      </c>
      <c r="V40" s="1191"/>
      <c r="W40" s="766"/>
      <c r="X40" s="1185"/>
      <c r="Y40" s="766" t="s">
        <v>152</v>
      </c>
      <c r="AA40" s="787"/>
      <c r="AD40" s="33" t="str">
        <f>C39&amp;F40</f>
        <v>ArgentinaUSD bn</v>
      </c>
    </row>
    <row r="41" spans="1:30" ht="150" customHeight="1">
      <c r="A41" s="1268"/>
      <c r="B41" s="1268"/>
      <c r="C41" s="1257"/>
      <c r="D41" s="1254"/>
      <c r="E41" s="12"/>
      <c r="F41" s="53" t="s">
        <v>117</v>
      </c>
      <c r="G41" s="252" t="e">
        <f>(G39/VLOOKUP("Argentina",#REF!,4,0))*100</f>
        <v>#REF!</v>
      </c>
      <c r="H41" s="252" t="e">
        <f>(H39/VLOOKUP("Argentina",#REF!,4,0))*100</f>
        <v>#REF!</v>
      </c>
      <c r="I41" s="1280"/>
      <c r="J41" s="252" t="e">
        <f>(J39/VLOOKUP($C39,#REF!,4,0))*100</f>
        <v>#REF!</v>
      </c>
      <c r="K41" s="1192"/>
      <c r="L41" s="252" t="e">
        <f>(L39/VLOOKUP($C39,#REF!,4,0))*100</f>
        <v>#REF!</v>
      </c>
      <c r="M41" s="1192"/>
      <c r="N41" s="12"/>
      <c r="O41" s="53" t="s">
        <v>117</v>
      </c>
      <c r="P41" s="252" t="e">
        <f>(P39/VLOOKUP($C39,#REF!,4,0))*100</f>
        <v>#REF!</v>
      </c>
      <c r="Q41" s="267"/>
      <c r="R41" s="1192"/>
      <c r="S41" s="12"/>
      <c r="T41" s="53" t="s">
        <v>117</v>
      </c>
      <c r="U41" s="252" t="e">
        <f>(U39/VLOOKUP($C39,#REF!,4,0))*100</f>
        <v>#REF!</v>
      </c>
      <c r="V41" s="1192"/>
      <c r="W41" s="767"/>
      <c r="X41" s="1186"/>
      <c r="Y41" s="767"/>
      <c r="Z41" s="52"/>
      <c r="AA41" s="788"/>
      <c r="AD41" s="33" t="str">
        <f>C39&amp;F41</f>
        <v>Argentina% GDP</v>
      </c>
    </row>
    <row r="42" spans="1:30" ht="135" customHeight="1">
      <c r="A42" s="1268">
        <v>1</v>
      </c>
      <c r="B42" s="1268" t="s">
        <v>861</v>
      </c>
      <c r="C42" s="1298" t="s">
        <v>10</v>
      </c>
      <c r="D42" s="1253" t="s">
        <v>570</v>
      </c>
      <c r="E42" s="16"/>
      <c r="F42" s="175" t="s">
        <v>115</v>
      </c>
      <c r="G42" s="253">
        <f>J42+H42</f>
        <v>499.5</v>
      </c>
      <c r="H42" s="102">
        <f>54.2+6.5</f>
        <v>60.7</v>
      </c>
      <c r="I42" s="1220" t="s">
        <v>878</v>
      </c>
      <c r="J42" s="102">
        <f>424.8+14</f>
        <v>438.8</v>
      </c>
      <c r="K42" s="1193" t="s">
        <v>1010</v>
      </c>
      <c r="L42" s="102">
        <v>196</v>
      </c>
      <c r="M42" s="1193" t="s">
        <v>880</v>
      </c>
      <c r="N42" s="16"/>
      <c r="O42" s="175" t="s">
        <v>115</v>
      </c>
      <c r="P42" s="102">
        <f>Q42+U42+W42</f>
        <v>383.9</v>
      </c>
      <c r="Q42" s="270">
        <v>74.900000000000006</v>
      </c>
      <c r="R42" s="1193" t="s">
        <v>881</v>
      </c>
      <c r="S42" s="534"/>
      <c r="T42" s="506" t="s">
        <v>115</v>
      </c>
      <c r="U42" s="253"/>
      <c r="V42" s="1193" t="s">
        <v>711</v>
      </c>
      <c r="W42" s="122">
        <v>309</v>
      </c>
      <c r="X42" s="1193" t="s">
        <v>883</v>
      </c>
      <c r="Y42" s="1184" t="s">
        <v>75</v>
      </c>
      <c r="Z42" s="15"/>
      <c r="AA42" s="22"/>
      <c r="AD42" s="33" t="str">
        <f>C42&amp;F42</f>
        <v>BrazilLC bn</v>
      </c>
    </row>
    <row r="43" spans="1:30" ht="128.15" customHeight="1">
      <c r="A43" s="1268"/>
      <c r="B43" s="1268"/>
      <c r="C43" s="1298"/>
      <c r="D43" s="1253"/>
      <c r="E43" s="35"/>
      <c r="F43" s="175" t="s">
        <v>116</v>
      </c>
      <c r="G43" s="251" t="e">
        <f>G42/VLOOKUP(C42,#REF!,7,0)</f>
        <v>#REF!</v>
      </c>
      <c r="H43" s="251" t="e">
        <f>H42/VLOOKUP($C42,#REF!,7,0)</f>
        <v>#REF!</v>
      </c>
      <c r="I43" s="1221"/>
      <c r="J43" s="251" t="e">
        <f>J42/VLOOKUP($C42,#REF!,7,0)</f>
        <v>#REF!</v>
      </c>
      <c r="K43" s="1196"/>
      <c r="L43" s="251" t="e">
        <f>L42/VLOOKUP($C42,#REF!,7,0)</f>
        <v>#REF!</v>
      </c>
      <c r="M43" s="1196"/>
      <c r="N43" s="35"/>
      <c r="O43" s="175" t="s">
        <v>116</v>
      </c>
      <c r="P43" s="103" t="e">
        <f>P42/VLOOKUP(C42,#REF!,7,0)</f>
        <v>#REF!</v>
      </c>
      <c r="Q43" s="266" t="e">
        <f>Q42/VLOOKUP(C42,#REF!,7,0)</f>
        <v>#REF!</v>
      </c>
      <c r="R43" s="1196"/>
      <c r="S43" s="509"/>
      <c r="T43" s="506" t="s">
        <v>116</v>
      </c>
      <c r="U43" s="258"/>
      <c r="V43" s="1196"/>
      <c r="W43" s="251" t="e">
        <f>W42/VLOOKUP($C42,#REF!,7,0)</f>
        <v>#REF!</v>
      </c>
      <c r="X43" s="1196"/>
      <c r="Y43" s="1185"/>
      <c r="AA43" s="787"/>
      <c r="AD43" s="33" t="str">
        <f>C42&amp;F43</f>
        <v>BrazilUSD bn</v>
      </c>
    </row>
    <row r="44" spans="1:30" ht="109" customHeight="1">
      <c r="A44" s="1268"/>
      <c r="B44" s="1268"/>
      <c r="C44" s="1299"/>
      <c r="D44" s="1254"/>
      <c r="E44" s="35"/>
      <c r="F44" s="175" t="s">
        <v>117</v>
      </c>
      <c r="G44" s="258" t="e">
        <f>(G42/VLOOKUP(C42,#REF!,4,0))*100</f>
        <v>#REF!</v>
      </c>
      <c r="H44" s="252" t="e">
        <f>(H42/VLOOKUP($C42,#REF!,4,0))*100</f>
        <v>#REF!</v>
      </c>
      <c r="I44" s="1222"/>
      <c r="J44" s="252" t="e">
        <f>(J42/VLOOKUP($C42,#REF!,4,0))*100</f>
        <v>#REF!</v>
      </c>
      <c r="K44" s="1197"/>
      <c r="L44" s="252" t="e">
        <f>(L42/VLOOKUP($C42,#REF!,4,0))*100</f>
        <v>#REF!</v>
      </c>
      <c r="M44" s="1197"/>
      <c r="N44" s="35"/>
      <c r="O44" s="175" t="s">
        <v>117</v>
      </c>
      <c r="P44" s="82" t="e">
        <f>(P42/VLOOKUP(C42,#REF!,4,0))*100</f>
        <v>#REF!</v>
      </c>
      <c r="Q44" s="269" t="e">
        <f>(Q42/VLOOKUP(C42,#REF!,4,0))*100</f>
        <v>#REF!</v>
      </c>
      <c r="R44" s="1197"/>
      <c r="S44" s="509"/>
      <c r="T44" s="506" t="s">
        <v>117</v>
      </c>
      <c r="U44" s="258"/>
      <c r="V44" s="1197"/>
      <c r="W44" s="252" t="e">
        <f>(W42/VLOOKUP($C42,#REF!,4,0))*100</f>
        <v>#REF!</v>
      </c>
      <c r="X44" s="1197"/>
      <c r="Y44" s="1186"/>
      <c r="AA44" s="787"/>
      <c r="AD44" s="33" t="str">
        <f>C42&amp;F44</f>
        <v>Brazil% GDP</v>
      </c>
    </row>
    <row r="45" spans="1:30" s="795" customFormat="1" ht="110.15" customHeight="1">
      <c r="A45" s="1268">
        <v>1</v>
      </c>
      <c r="B45" s="1268" t="s">
        <v>861</v>
      </c>
      <c r="C45" s="1298" t="s">
        <v>11</v>
      </c>
      <c r="D45" s="1253" t="s">
        <v>570</v>
      </c>
      <c r="F45" s="38" t="s">
        <v>115</v>
      </c>
      <c r="G45" s="186">
        <f>H45+J45</f>
        <v>4578</v>
      </c>
      <c r="H45" s="776">
        <v>147</v>
      </c>
      <c r="I45" s="1220" t="s">
        <v>618</v>
      </c>
      <c r="J45" s="186">
        <v>4431</v>
      </c>
      <c r="K45" s="1190" t="s">
        <v>943</v>
      </c>
      <c r="L45" s="186">
        <v>1600</v>
      </c>
      <c r="M45" s="1190" t="s">
        <v>763</v>
      </c>
      <c r="O45" s="38" t="s">
        <v>115</v>
      </c>
      <c r="P45" s="496">
        <f>Q45+U45+W45</f>
        <v>1330</v>
      </c>
      <c r="Q45" s="274"/>
      <c r="R45" s="1193" t="s">
        <v>947</v>
      </c>
      <c r="T45" s="38" t="s">
        <v>115</v>
      </c>
      <c r="U45" s="255">
        <v>400</v>
      </c>
      <c r="V45" s="1193" t="s">
        <v>944</v>
      </c>
      <c r="W45" s="768">
        <v>930</v>
      </c>
      <c r="X45" s="1190" t="s">
        <v>945</v>
      </c>
      <c r="Y45" s="1184" t="s">
        <v>76</v>
      </c>
      <c r="AA45" s="765"/>
      <c r="AD45" s="33" t="str">
        <f>C45&amp;F45</f>
        <v>ChinaLC bn</v>
      </c>
    </row>
    <row r="46" spans="1:30" ht="129" customHeight="1">
      <c r="A46" s="1268"/>
      <c r="B46" s="1268"/>
      <c r="C46" s="1298"/>
      <c r="D46" s="1253"/>
      <c r="E46" s="35"/>
      <c r="F46" s="175" t="s">
        <v>116</v>
      </c>
      <c r="G46" s="251" t="e">
        <f>G45/VLOOKUP(C45,#REF!,7,0)</f>
        <v>#REF!</v>
      </c>
      <c r="H46" s="251" t="e">
        <f>H45/VLOOKUP($C45,#REF!,7,0)</f>
        <v>#REF!</v>
      </c>
      <c r="I46" s="1221"/>
      <c r="J46" s="251" t="e">
        <f>J45/VLOOKUP($C45,#REF!,7,0)</f>
        <v>#REF!</v>
      </c>
      <c r="K46" s="1191"/>
      <c r="L46" s="251" t="e">
        <f>L45/VLOOKUP($C45,#REF!,7,0)</f>
        <v>#REF!</v>
      </c>
      <c r="M46" s="1191"/>
      <c r="N46" s="35"/>
      <c r="O46" s="175" t="s">
        <v>116</v>
      </c>
      <c r="P46" s="497" t="e">
        <f>Q46+U46+W46</f>
        <v>#REF!</v>
      </c>
      <c r="Q46" s="266"/>
      <c r="R46" s="1196"/>
      <c r="S46" s="35"/>
      <c r="T46" s="175" t="s">
        <v>116</v>
      </c>
      <c r="U46" s="251" t="e">
        <f>U45/VLOOKUP(C45,#REF!,7,0)</f>
        <v>#REF!</v>
      </c>
      <c r="V46" s="1196"/>
      <c r="W46" s="118" t="e">
        <f>W45/VLOOKUP($C45,#REF!,7,0)</f>
        <v>#REF!</v>
      </c>
      <c r="X46" s="1191"/>
      <c r="Y46" s="1185"/>
      <c r="AA46" s="787"/>
      <c r="AD46" s="33" t="str">
        <f>C45&amp;F46</f>
        <v>ChinaUSD bn</v>
      </c>
    </row>
    <row r="47" spans="1:30" ht="182.15" customHeight="1">
      <c r="A47" s="1268"/>
      <c r="B47" s="1268"/>
      <c r="C47" s="1299"/>
      <c r="D47" s="1254"/>
      <c r="E47" s="12"/>
      <c r="F47" s="53" t="s">
        <v>117</v>
      </c>
      <c r="G47" s="252" t="e">
        <f>(G45/VLOOKUP(C45,#REF!,4,0))*100</f>
        <v>#REF!</v>
      </c>
      <c r="H47" s="252" t="e">
        <f>(H45/VLOOKUP($C45,#REF!,4,0))*100</f>
        <v>#REF!</v>
      </c>
      <c r="I47" s="1222"/>
      <c r="J47" s="252" t="e">
        <f>(J45/VLOOKUP($C45,#REF!,4,0))*100</f>
        <v>#REF!</v>
      </c>
      <c r="K47" s="1192"/>
      <c r="L47" s="252" t="e">
        <f>(L45/VLOOKUP($C45,#REF!,4,0))*100</f>
        <v>#REF!</v>
      </c>
      <c r="M47" s="1192"/>
      <c r="N47" s="12"/>
      <c r="O47" s="53" t="s">
        <v>117</v>
      </c>
      <c r="P47" s="499" t="e">
        <f t="shared" ref="P47" si="3">Q47+U47+W47</f>
        <v>#REF!</v>
      </c>
      <c r="Q47" s="267"/>
      <c r="R47" s="1197"/>
      <c r="S47" s="12"/>
      <c r="T47" s="53" t="s">
        <v>117</v>
      </c>
      <c r="U47" s="252" t="e">
        <f>(U45/VLOOKUP(C45,#REF!,4,0))*100</f>
        <v>#REF!</v>
      </c>
      <c r="V47" s="1197"/>
      <c r="W47" s="785" t="e">
        <f>(W45/VLOOKUP($C45,#REF!,4,0))*100</f>
        <v>#REF!</v>
      </c>
      <c r="X47" s="1192"/>
      <c r="Y47" s="1185"/>
      <c r="AA47" s="787"/>
      <c r="AD47" s="33" t="str">
        <f>C45&amp;F47</f>
        <v>China% GDP</v>
      </c>
    </row>
    <row r="48" spans="1:30" s="795" customFormat="1" ht="61" customHeight="1">
      <c r="A48" s="1268">
        <v>1</v>
      </c>
      <c r="B48" s="1268" t="s">
        <v>861</v>
      </c>
      <c r="C48" s="1256" t="s">
        <v>12</v>
      </c>
      <c r="D48" s="1253" t="s">
        <v>571</v>
      </c>
      <c r="F48" s="38" t="s">
        <v>115</v>
      </c>
      <c r="G48" s="186">
        <v>3342.5</v>
      </c>
      <c r="H48" s="776">
        <v>360</v>
      </c>
      <c r="I48" s="1184" t="s">
        <v>985</v>
      </c>
      <c r="J48" s="186">
        <v>2983</v>
      </c>
      <c r="K48" s="1190" t="s">
        <v>986</v>
      </c>
      <c r="L48" s="776">
        <v>680</v>
      </c>
      <c r="M48" s="1190" t="s">
        <v>839</v>
      </c>
      <c r="O48" s="38" t="s">
        <v>115</v>
      </c>
      <c r="P48" s="186">
        <f>Q48+U48+W48</f>
        <v>9931</v>
      </c>
      <c r="Q48" s="776">
        <v>500</v>
      </c>
      <c r="R48" s="1184" t="s">
        <v>620</v>
      </c>
      <c r="T48" s="38" t="s">
        <v>115</v>
      </c>
      <c r="U48" s="185">
        <v>8531</v>
      </c>
      <c r="V48" s="1190" t="s">
        <v>840</v>
      </c>
      <c r="W48" s="776">
        <v>900</v>
      </c>
      <c r="X48" s="1184" t="s">
        <v>619</v>
      </c>
      <c r="Y48" s="765"/>
      <c r="AA48" s="1225" t="s">
        <v>57</v>
      </c>
      <c r="AD48" s="33" t="str">
        <f>C48&amp;F48</f>
        <v>IndiaLC bn</v>
      </c>
    </row>
    <row r="49" spans="1:30" s="796" customFormat="1" ht="60.65" customHeight="1">
      <c r="A49" s="1268"/>
      <c r="B49" s="1268"/>
      <c r="C49" s="1256"/>
      <c r="D49" s="1253"/>
      <c r="F49" s="175" t="s">
        <v>116</v>
      </c>
      <c r="G49" s="251" t="e">
        <f>G48/VLOOKUP(C48,#REF!,7,0)</f>
        <v>#REF!</v>
      </c>
      <c r="H49" s="258" t="e">
        <f>H48/VLOOKUP($C48,#REF!,7,0)</f>
        <v>#REF!</v>
      </c>
      <c r="I49" s="1185"/>
      <c r="J49" s="251" t="e">
        <f>J48/VLOOKUP($C48,#REF!,7,0)</f>
        <v>#REF!</v>
      </c>
      <c r="K49" s="1191"/>
      <c r="L49" s="258" t="e">
        <f>L48/VLOOKUP($C48,#REF!,7,0)</f>
        <v>#REF!</v>
      </c>
      <c r="M49" s="1191"/>
      <c r="O49" s="175" t="s">
        <v>116</v>
      </c>
      <c r="P49" s="266" t="e">
        <f>P48/VLOOKUP($C48,#REF!,7,0)</f>
        <v>#REF!</v>
      </c>
      <c r="Q49" s="269" t="e">
        <f>Q48/VLOOKUP($C48,#REF!,7,0)</f>
        <v>#REF!</v>
      </c>
      <c r="R49" s="1185"/>
      <c r="T49" s="175" t="s">
        <v>116</v>
      </c>
      <c r="U49" s="266" t="e">
        <f>U48/VLOOKUP($C48,#REF!,7,0)</f>
        <v>#REF!</v>
      </c>
      <c r="V49" s="1191"/>
      <c r="W49" s="266" t="e">
        <f>W48/VLOOKUP($C48,#REF!,7,0)</f>
        <v>#REF!</v>
      </c>
      <c r="X49" s="1185"/>
      <c r="Y49" s="766"/>
      <c r="AA49" s="1226"/>
      <c r="AD49" s="33" t="str">
        <f>C48&amp;F49</f>
        <v>IndiaUSD bn</v>
      </c>
    </row>
    <row r="50" spans="1:30" ht="103" customHeight="1">
      <c r="A50" s="1268"/>
      <c r="B50" s="1268"/>
      <c r="C50" s="1257"/>
      <c r="D50" s="1254"/>
      <c r="E50" s="35"/>
      <c r="F50" s="175" t="s">
        <v>117</v>
      </c>
      <c r="G50" s="258" t="e">
        <f>(G48/VLOOKUP(C48,#REF!,4,0))*100</f>
        <v>#REF!</v>
      </c>
      <c r="H50" s="173" t="e">
        <f>(H48/VLOOKUP($C48,#REF!,4,0))*100</f>
        <v>#REF!</v>
      </c>
      <c r="I50" s="1186"/>
      <c r="J50" s="173" t="e">
        <f>(J48/VLOOKUP($C48,#REF!,4,0))*100</f>
        <v>#REF!</v>
      </c>
      <c r="K50" s="1192"/>
      <c r="L50" s="173" t="e">
        <f>(L48/VLOOKUP($C48,#REF!,4,0))*100</f>
        <v>#REF!</v>
      </c>
      <c r="M50" s="1192"/>
      <c r="N50" s="35"/>
      <c r="O50" s="175" t="s">
        <v>117</v>
      </c>
      <c r="P50" s="173" t="e">
        <f>(P48/VLOOKUP($C48,#REF!,4,0))*100</f>
        <v>#REF!</v>
      </c>
      <c r="Q50" s="173" t="e">
        <f>(Q48/VLOOKUP($C48,#REF!,4,0))*100</f>
        <v>#REF!</v>
      </c>
      <c r="R50" s="1186"/>
      <c r="S50" s="35"/>
      <c r="T50" s="175" t="s">
        <v>117</v>
      </c>
      <c r="U50" s="173" t="e">
        <f>(U48/VLOOKUP($C48,#REF!,4,0))*100</f>
        <v>#REF!</v>
      </c>
      <c r="V50" s="1192"/>
      <c r="W50" s="173" t="e">
        <f>(W48/VLOOKUP($C48,#REF!,4,0))*100</f>
        <v>#REF!</v>
      </c>
      <c r="X50" s="1186"/>
      <c r="Y50" s="766"/>
      <c r="AA50" s="1227"/>
      <c r="AD50" s="33" t="str">
        <f>C48&amp;F50</f>
        <v>India% GDP</v>
      </c>
    </row>
    <row r="51" spans="1:30" s="795" customFormat="1" ht="73.5" customHeight="1">
      <c r="A51" s="1268">
        <v>1</v>
      </c>
      <c r="B51" s="1268" t="s">
        <v>861</v>
      </c>
      <c r="C51" s="1256" t="s">
        <v>13</v>
      </c>
      <c r="D51" s="1253" t="s">
        <v>571</v>
      </c>
      <c r="F51" s="38" t="s">
        <v>115</v>
      </c>
      <c r="G51" s="186">
        <f>H51+J51</f>
        <v>394600</v>
      </c>
      <c r="H51" s="474">
        <v>76000</v>
      </c>
      <c r="I51" s="1184" t="s">
        <v>841</v>
      </c>
      <c r="J51" s="474">
        <f>222300+96300</f>
        <v>318600</v>
      </c>
      <c r="K51" s="1193" t="s">
        <v>842</v>
      </c>
      <c r="L51" s="770"/>
      <c r="M51" s="1190" t="s">
        <v>952</v>
      </c>
      <c r="O51" s="38" t="s">
        <v>115</v>
      </c>
      <c r="P51" s="475">
        <v>185200</v>
      </c>
      <c r="Q51" s="282">
        <v>35200</v>
      </c>
      <c r="R51" s="1193" t="s">
        <v>660</v>
      </c>
      <c r="T51" s="38" t="s">
        <v>115</v>
      </c>
      <c r="U51" s="282">
        <v>150000</v>
      </c>
      <c r="V51" s="1190" t="s">
        <v>987</v>
      </c>
      <c r="W51" s="536"/>
      <c r="X51" s="770"/>
      <c r="Y51" s="765"/>
      <c r="AA51" s="765"/>
      <c r="AD51" s="33" t="str">
        <f>C51&amp;F51</f>
        <v>IndonesiaLC bn</v>
      </c>
    </row>
    <row r="52" spans="1:30" s="796" customFormat="1" ht="100" customHeight="1">
      <c r="A52" s="1268"/>
      <c r="B52" s="1268"/>
      <c r="C52" s="1256"/>
      <c r="D52" s="1253"/>
      <c r="F52" s="175" t="s">
        <v>116</v>
      </c>
      <c r="G52" s="251" t="e">
        <f>G51/VLOOKUP(C51,#REF!,7,0)</f>
        <v>#REF!</v>
      </c>
      <c r="H52" s="258" t="e">
        <f>H51/VLOOKUP($C51,#REF!,7,0)</f>
        <v>#REF!</v>
      </c>
      <c r="I52" s="1185"/>
      <c r="J52" s="418" t="e">
        <f>J51/VLOOKUP($C51,#REF!,7,0)</f>
        <v>#REF!</v>
      </c>
      <c r="K52" s="1196"/>
      <c r="L52" s="771"/>
      <c r="M52" s="1191"/>
      <c r="O52" s="175" t="s">
        <v>116</v>
      </c>
      <c r="P52" s="251" t="e">
        <f>P51/VLOOKUP($C51,#REF!,7,0)</f>
        <v>#REF!</v>
      </c>
      <c r="Q52" s="279" t="e">
        <f>Q51/VLOOKUP($C51,#REF!,7,0)</f>
        <v>#REF!</v>
      </c>
      <c r="R52" s="1290"/>
      <c r="T52" s="175" t="s">
        <v>116</v>
      </c>
      <c r="U52" s="272" t="e">
        <f>U51/VLOOKUP($C51,#REF!,7,0)</f>
        <v>#REF!</v>
      </c>
      <c r="V52" s="1191"/>
      <c r="W52" s="537"/>
      <c r="X52" s="793"/>
      <c r="Y52" s="766"/>
      <c r="AA52" s="766"/>
      <c r="AD52" s="33" t="str">
        <f>C51&amp;F52</f>
        <v>IndonesiaUSD bn</v>
      </c>
    </row>
    <row r="53" spans="1:30" s="2" customFormat="1" ht="137.5" customHeight="1">
      <c r="A53" s="1268"/>
      <c r="B53" s="1268"/>
      <c r="C53" s="1257"/>
      <c r="D53" s="1254"/>
      <c r="E53" s="12"/>
      <c r="F53" s="53" t="s">
        <v>117</v>
      </c>
      <c r="G53" s="252" t="e">
        <f>(G51/VLOOKUP(C51,#REF!,4,0))*100</f>
        <v>#REF!</v>
      </c>
      <c r="H53" s="252" t="e">
        <f>(H51/VLOOKUP($C51,#REF!,4,0))*100</f>
        <v>#REF!</v>
      </c>
      <c r="I53" s="1186"/>
      <c r="J53" s="173" t="e">
        <f>(J51/VLOOKUP($C51,#REF!,4,0))*100</f>
        <v>#REF!</v>
      </c>
      <c r="K53" s="1197"/>
      <c r="L53" s="772"/>
      <c r="M53" s="1192"/>
      <c r="N53" s="12"/>
      <c r="O53" s="53" t="s">
        <v>117</v>
      </c>
      <c r="P53" s="252" t="e">
        <f>(P51/VLOOKUP($C51,#REF!,4,0))*100</f>
        <v>#REF!</v>
      </c>
      <c r="Q53" s="273" t="e">
        <f>(Q51/VLOOKUP($C51,#REF!,4,0))*100</f>
        <v>#REF!</v>
      </c>
      <c r="R53" s="1291"/>
      <c r="S53" s="12"/>
      <c r="T53" s="53" t="s">
        <v>117</v>
      </c>
      <c r="U53" s="273" t="e">
        <f>(U51/VLOOKUP($C51,#REF!,4,0))*100</f>
        <v>#REF!</v>
      </c>
      <c r="V53" s="1192"/>
      <c r="W53" s="538"/>
      <c r="X53" s="772"/>
      <c r="Y53" s="192" t="s">
        <v>296</v>
      </c>
      <c r="Z53" s="52"/>
      <c r="AA53" s="788"/>
      <c r="AD53" s="33" t="str">
        <f>C51&amp;F53</f>
        <v>Indonesia% GDP</v>
      </c>
    </row>
    <row r="54" spans="1:30" s="37" customFormat="1" ht="60" customHeight="1">
      <c r="A54" s="1268">
        <v>1</v>
      </c>
      <c r="B54" s="1268" t="s">
        <v>861</v>
      </c>
      <c r="C54" s="1256" t="s">
        <v>14</v>
      </c>
      <c r="D54" s="1253" t="s">
        <v>572</v>
      </c>
      <c r="F54" s="175" t="s">
        <v>115</v>
      </c>
      <c r="G54" s="257">
        <f>H54+J54</f>
        <v>147.30000000000001</v>
      </c>
      <c r="H54" s="777">
        <v>40</v>
      </c>
      <c r="I54" s="1233" t="s">
        <v>864</v>
      </c>
      <c r="J54" s="118">
        <v>107.3</v>
      </c>
      <c r="K54" s="1289" t="s">
        <v>867</v>
      </c>
      <c r="L54" s="118">
        <v>46.4</v>
      </c>
      <c r="M54" s="1190" t="s">
        <v>865</v>
      </c>
      <c r="O54" s="175" t="s">
        <v>115</v>
      </c>
      <c r="P54" s="118">
        <f>SUM(Q54,U54,W54)</f>
        <v>103</v>
      </c>
      <c r="Q54" s="265">
        <v>38</v>
      </c>
      <c r="R54" s="1184" t="s">
        <v>866</v>
      </c>
      <c r="T54" s="175" t="s">
        <v>115</v>
      </c>
      <c r="U54" s="807"/>
      <c r="V54" s="766"/>
      <c r="W54" s="265">
        <v>65</v>
      </c>
      <c r="X54" s="1184" t="s">
        <v>573</v>
      </c>
      <c r="Y54" s="1184" t="s">
        <v>77</v>
      </c>
      <c r="AA54" s="1317" t="s">
        <v>868</v>
      </c>
      <c r="AD54" s="33" t="str">
        <f>C54&amp;F54</f>
        <v>MexicoLC bn</v>
      </c>
    </row>
    <row r="55" spans="1:30" s="37" customFormat="1" ht="60" customHeight="1">
      <c r="A55" s="1268"/>
      <c r="B55" s="1268"/>
      <c r="C55" s="1256"/>
      <c r="D55" s="1253"/>
      <c r="F55" s="175" t="s">
        <v>116</v>
      </c>
      <c r="G55" s="258" t="e">
        <f>G54/VLOOKUP(C54,#REF!,7,0)</f>
        <v>#REF!</v>
      </c>
      <c r="H55" s="258" t="e">
        <f>H54/VLOOKUP($C54,#REF!,7,0)</f>
        <v>#REF!</v>
      </c>
      <c r="I55" s="1247"/>
      <c r="J55" s="258" t="e">
        <f>J54/VLOOKUP($C54,#REF!,7,0)</f>
        <v>#REF!</v>
      </c>
      <c r="K55" s="1191"/>
      <c r="L55" s="258" t="e">
        <f>L54/VLOOKUP($C54,#REF!,7,0)</f>
        <v>#REF!</v>
      </c>
      <c r="M55" s="1191"/>
      <c r="O55" s="175" t="s">
        <v>116</v>
      </c>
      <c r="P55" s="258" t="e">
        <f>P54/VLOOKUP($C54,#REF!,7,0)</f>
        <v>#REF!</v>
      </c>
      <c r="Q55" s="258" t="e">
        <f>Q54/VLOOKUP($C54,#REF!,7,0)</f>
        <v>#REF!</v>
      </c>
      <c r="R55" s="1219"/>
      <c r="T55" s="175" t="s">
        <v>116</v>
      </c>
      <c r="U55" s="807"/>
      <c r="V55" s="766"/>
      <c r="W55" s="258" t="e">
        <f>W54/VLOOKUP($C54,#REF!,7,0)</f>
        <v>#REF!</v>
      </c>
      <c r="X55" s="1185"/>
      <c r="Y55" s="1185"/>
      <c r="AA55" s="1293"/>
      <c r="AD55" s="33" t="str">
        <f>C54&amp;F55</f>
        <v>MexicoUSD bn</v>
      </c>
    </row>
    <row r="56" spans="1:30" s="61" customFormat="1" ht="75" customHeight="1">
      <c r="A56" s="1268"/>
      <c r="B56" s="1268"/>
      <c r="C56" s="1257"/>
      <c r="D56" s="1254"/>
      <c r="F56" s="53" t="s">
        <v>117</v>
      </c>
      <c r="G56" s="252" t="e">
        <f>(G54/VLOOKUP(C54,#REF!,4,0))*100</f>
        <v>#REF!</v>
      </c>
      <c r="H56" s="252" t="e">
        <f>(H54/VLOOKUP($C54,#REF!,4,0))*100</f>
        <v>#REF!</v>
      </c>
      <c r="I56" s="1248"/>
      <c r="J56" s="252" t="e">
        <f>(J54/VLOOKUP($C54,#REF!,4,0))*100</f>
        <v>#REF!</v>
      </c>
      <c r="K56" s="1192"/>
      <c r="L56" s="252" t="e">
        <f>(L54/VLOOKUP($C54,#REF!,4,0))*100</f>
        <v>#REF!</v>
      </c>
      <c r="M56" s="1192"/>
      <c r="O56" s="53" t="s">
        <v>117</v>
      </c>
      <c r="P56" s="252" t="e">
        <f>(P54/VLOOKUP($C54,#REF!,4,0))*100</f>
        <v>#REF!</v>
      </c>
      <c r="Q56" s="252" t="e">
        <f>(Q54/VLOOKUP($C54,#REF!,4,0))*100</f>
        <v>#REF!</v>
      </c>
      <c r="R56" s="1186"/>
      <c r="T56" s="53" t="s">
        <v>117</v>
      </c>
      <c r="U56" s="808"/>
      <c r="V56" s="767"/>
      <c r="W56" s="252" t="e">
        <f>(W54/VLOOKUP($C54,#REF!,4,0))*100</f>
        <v>#REF!</v>
      </c>
      <c r="X56" s="1186"/>
      <c r="Y56" s="1186"/>
      <c r="AA56" s="1294"/>
      <c r="AD56" s="33" t="str">
        <f>C54&amp;F56</f>
        <v>Mexico% GDP</v>
      </c>
    </row>
    <row r="57" spans="1:30" s="796" customFormat="1" ht="133.5" customHeight="1">
      <c r="A57" s="1268">
        <v>1</v>
      </c>
      <c r="B57" s="1268" t="s">
        <v>861</v>
      </c>
      <c r="C57" s="1256" t="s">
        <v>15</v>
      </c>
      <c r="D57" s="1253" t="s">
        <v>571</v>
      </c>
      <c r="E57" s="795"/>
      <c r="F57" s="175" t="s">
        <v>115</v>
      </c>
      <c r="G57" s="186">
        <v>2457</v>
      </c>
      <c r="H57" s="776">
        <v>232</v>
      </c>
      <c r="I57" s="1184" t="s">
        <v>975</v>
      </c>
      <c r="J57" s="186">
        <f>1750+474</f>
        <v>2224</v>
      </c>
      <c r="K57" s="1190" t="s">
        <v>976</v>
      </c>
      <c r="L57" s="776">
        <v>432</v>
      </c>
      <c r="M57" s="1184" t="s">
        <v>805</v>
      </c>
      <c r="N57" s="795"/>
      <c r="O57" s="175" t="s">
        <v>115</v>
      </c>
      <c r="P57" s="186">
        <f>Q57+U57+W57</f>
        <v>1070</v>
      </c>
      <c r="Q57" s="265">
        <v>70</v>
      </c>
      <c r="R57" s="1193" t="s">
        <v>574</v>
      </c>
      <c r="S57" s="795"/>
      <c r="T57" s="175" t="s">
        <v>115</v>
      </c>
      <c r="U57" s="257">
        <v>500</v>
      </c>
      <c r="V57" s="1193" t="s">
        <v>978</v>
      </c>
      <c r="W57" s="768">
        <v>500</v>
      </c>
      <c r="X57" s="1190" t="s">
        <v>806</v>
      </c>
      <c r="Y57" s="765"/>
      <c r="Z57" s="795"/>
      <c r="AA57" s="765"/>
      <c r="AD57" s="33" t="str">
        <f>C57&amp;F57</f>
        <v>RussiaLC bn</v>
      </c>
    </row>
    <row r="58" spans="1:30" s="796" customFormat="1" ht="178" customHeight="1">
      <c r="A58" s="1268"/>
      <c r="B58" s="1268"/>
      <c r="C58" s="1256"/>
      <c r="D58" s="1253"/>
      <c r="F58" s="175" t="s">
        <v>116</v>
      </c>
      <c r="G58" s="251" t="e">
        <f>G57/VLOOKUP(C57,#REF!,7,0)</f>
        <v>#REF!</v>
      </c>
      <c r="H58" s="785" t="e">
        <f>H57/VLOOKUP(C57,#REF!,7,0)</f>
        <v>#REF!</v>
      </c>
      <c r="I58" s="1185"/>
      <c r="J58" s="418" t="e">
        <f>J57/VLOOKUP($C57,#REF!,7,0)</f>
        <v>#REF!</v>
      </c>
      <c r="K58" s="1191"/>
      <c r="L58" s="172" t="e">
        <f>L57/VLOOKUP($C57,#REF!,7,0)</f>
        <v>#REF!</v>
      </c>
      <c r="M58" s="1185"/>
      <c r="O58" s="175" t="s">
        <v>116</v>
      </c>
      <c r="P58" s="251" t="e">
        <f>P57/VLOOKUP($C57,#REF!,7,0)</f>
        <v>#REF!</v>
      </c>
      <c r="Q58" s="258" t="e">
        <f>Q57/VLOOKUP($C57,#REF!,7,0)</f>
        <v>#REF!</v>
      </c>
      <c r="R58" s="1196"/>
      <c r="T58" s="175" t="s">
        <v>116</v>
      </c>
      <c r="U58" s="258" t="e">
        <f>U57/VLOOKUP($C57,#REF!,7,0)</f>
        <v>#REF!</v>
      </c>
      <c r="V58" s="1196"/>
      <c r="W58" s="258" t="e">
        <f>W57/VLOOKUP($C57,#REF!,7,0)</f>
        <v>#REF!</v>
      </c>
      <c r="X58" s="1191"/>
      <c r="Y58" s="766"/>
      <c r="AA58" s="766"/>
      <c r="AD58" s="33" t="str">
        <f>C57&amp;F58</f>
        <v>RussiaUSD bn</v>
      </c>
    </row>
    <row r="59" spans="1:30" ht="164.15" customHeight="1">
      <c r="A59" s="1268"/>
      <c r="B59" s="1268"/>
      <c r="C59" s="1257"/>
      <c r="D59" s="1254"/>
      <c r="E59" s="35"/>
      <c r="F59" s="175" t="s">
        <v>117</v>
      </c>
      <c r="G59" s="258" t="e">
        <f>(G57/VLOOKUP(C57,#REF!,4,0))*100</f>
        <v>#REF!</v>
      </c>
      <c r="H59" s="495" t="e">
        <f>(H57/VLOOKUP(C57,#REF!,4,0))*100</f>
        <v>#REF!</v>
      </c>
      <c r="I59" s="1186"/>
      <c r="J59" s="173" t="e">
        <f>(J57/VLOOKUP($C57,#REF!,4,0))*100</f>
        <v>#REF!</v>
      </c>
      <c r="K59" s="1192"/>
      <c r="L59" s="173" t="e">
        <f>(L57/VLOOKUP($C57,#REF!,4,0))*100</f>
        <v>#REF!</v>
      </c>
      <c r="M59" s="1186"/>
      <c r="N59" s="35"/>
      <c r="O59" s="175" t="s">
        <v>117</v>
      </c>
      <c r="P59" s="252" t="e">
        <f>P57/VLOOKUP($C57,#REF!,4,0)*100</f>
        <v>#REF!</v>
      </c>
      <c r="Q59" s="252" t="e">
        <f>Q57/VLOOKUP($C57,#REF!,4,0)*100</f>
        <v>#REF!</v>
      </c>
      <c r="R59" s="1197"/>
      <c r="S59" s="35"/>
      <c r="T59" s="175" t="s">
        <v>117</v>
      </c>
      <c r="U59" s="252" t="e">
        <f>(U57/VLOOKUP($C57,#REF!,4,0))*100</f>
        <v>#REF!</v>
      </c>
      <c r="V59" s="1197"/>
      <c r="W59" s="252" t="e">
        <f>(W57/VLOOKUP($C57,#REF!,4,0))*100</f>
        <v>#REF!</v>
      </c>
      <c r="X59" s="1192"/>
      <c r="Y59" s="766"/>
      <c r="AA59" s="787"/>
      <c r="AD59" s="33" t="str">
        <f>C57&amp;F59</f>
        <v>Russia% GDP</v>
      </c>
    </row>
    <row r="60" spans="1:30" s="795" customFormat="1" ht="39.65" customHeight="1">
      <c r="A60" s="1268">
        <v>1</v>
      </c>
      <c r="B60" s="1268" t="s">
        <v>861</v>
      </c>
      <c r="C60" s="1256" t="s">
        <v>16</v>
      </c>
      <c r="D60" s="1253" t="s">
        <v>570</v>
      </c>
      <c r="F60" s="38" t="s">
        <v>115</v>
      </c>
      <c r="G60" s="255">
        <f>H60+J60</f>
        <v>57.6</v>
      </c>
      <c r="H60" s="776">
        <v>47</v>
      </c>
      <c r="I60" s="1193" t="s">
        <v>949</v>
      </c>
      <c r="J60" s="806">
        <v>10.6</v>
      </c>
      <c r="K60" s="1193" t="s">
        <v>950</v>
      </c>
      <c r="L60" s="778">
        <v>48</v>
      </c>
      <c r="M60" s="1193" t="s">
        <v>624</v>
      </c>
      <c r="O60" s="38" t="s">
        <v>115</v>
      </c>
      <c r="P60" s="496">
        <f t="shared" ref="P60:P62" si="4">Q60+U60+W60</f>
        <v>22</v>
      </c>
      <c r="Q60" s="274">
        <v>22</v>
      </c>
      <c r="R60" s="1184" t="s">
        <v>739</v>
      </c>
      <c r="T60" s="38" t="s">
        <v>115</v>
      </c>
      <c r="U60" s="806"/>
      <c r="V60" s="765"/>
      <c r="W60" s="765"/>
      <c r="X60" s="765"/>
      <c r="Y60" s="765"/>
      <c r="AA60" s="1225" t="s">
        <v>59</v>
      </c>
      <c r="AD60" s="33" t="str">
        <f>C60&amp;F60</f>
        <v>Saudi ArabiaLC bn</v>
      </c>
    </row>
    <row r="61" spans="1:30" s="796" customFormat="1" ht="50.15" customHeight="1">
      <c r="A61" s="1268"/>
      <c r="B61" s="1268"/>
      <c r="C61" s="1256"/>
      <c r="D61" s="1253"/>
      <c r="F61" s="175" t="s">
        <v>116</v>
      </c>
      <c r="G61" s="251" t="e">
        <f>G60/#REF!</f>
        <v>#REF!</v>
      </c>
      <c r="H61" s="251" t="e">
        <f>H60/VLOOKUP($C60,#REF!,7,0)</f>
        <v>#REF!</v>
      </c>
      <c r="I61" s="1196"/>
      <c r="J61" s="258" t="e">
        <f>J60/VLOOKUP($C60,#REF!,7,0)</f>
        <v>#REF!</v>
      </c>
      <c r="K61" s="1196"/>
      <c r="L61" s="251" t="e">
        <f>L60/VLOOKUP($C60,#REF!,7,0)</f>
        <v>#REF!</v>
      </c>
      <c r="M61" s="1196"/>
      <c r="O61" s="175" t="s">
        <v>116</v>
      </c>
      <c r="P61" s="412" t="e">
        <f t="shared" si="4"/>
        <v>#REF!</v>
      </c>
      <c r="Q61" s="269" t="e">
        <f>Q60/VLOOKUP(C60,#REF!,7,0)</f>
        <v>#REF!</v>
      </c>
      <c r="R61" s="1185"/>
      <c r="T61" s="175" t="s">
        <v>116</v>
      </c>
      <c r="U61" s="807"/>
      <c r="V61" s="766"/>
      <c r="W61" s="766"/>
      <c r="X61" s="766"/>
      <c r="Y61" s="766"/>
      <c r="AA61" s="1226"/>
      <c r="AD61" s="33" t="str">
        <f>C60&amp;F61</f>
        <v>Saudi ArabiaUSD bn</v>
      </c>
    </row>
    <row r="62" spans="1:30" ht="50.5" customHeight="1">
      <c r="A62" s="1268"/>
      <c r="B62" s="1268"/>
      <c r="C62" s="1257"/>
      <c r="D62" s="1254"/>
      <c r="E62" s="12"/>
      <c r="F62" s="53" t="s">
        <v>117</v>
      </c>
      <c r="G62" s="252" t="e">
        <f>G60/#REF!*100</f>
        <v>#REF!</v>
      </c>
      <c r="H62" s="252" t="e">
        <f>(H60/VLOOKUP($C60,#REF!,4,0))*100</f>
        <v>#REF!</v>
      </c>
      <c r="I62" s="1197"/>
      <c r="J62" s="252" t="e">
        <f>(J60/VLOOKUP($C60,#REF!,4,0))*100</f>
        <v>#REF!</v>
      </c>
      <c r="K62" s="1197"/>
      <c r="L62" s="252" t="e">
        <f>(L60/VLOOKUP($C60,#REF!,4,0))*100</f>
        <v>#REF!</v>
      </c>
      <c r="M62" s="1197"/>
      <c r="N62" s="12"/>
      <c r="O62" s="53" t="s">
        <v>117</v>
      </c>
      <c r="P62" s="499" t="e">
        <f t="shared" si="4"/>
        <v>#REF!</v>
      </c>
      <c r="Q62" s="267" t="e">
        <f>(Q60/VLOOKUP(C60,#REF!,4,0))*100</f>
        <v>#REF!</v>
      </c>
      <c r="R62" s="1186"/>
      <c r="S62" s="12"/>
      <c r="T62" s="53" t="s">
        <v>117</v>
      </c>
      <c r="U62" s="252"/>
      <c r="V62" s="767"/>
      <c r="W62" s="767"/>
      <c r="X62" s="767"/>
      <c r="Y62" s="767"/>
      <c r="Z62" s="52"/>
      <c r="AA62" s="788"/>
      <c r="AD62" s="33" t="str">
        <f>C60&amp;F62</f>
        <v>Saudi Arabia% GDP</v>
      </c>
    </row>
    <row r="63" spans="1:30" s="796" customFormat="1" ht="96" customHeight="1">
      <c r="A63" s="1268">
        <v>1</v>
      </c>
      <c r="B63" s="1268" t="s">
        <v>861</v>
      </c>
      <c r="C63" s="1256" t="s">
        <v>17</v>
      </c>
      <c r="D63" s="1253" t="s">
        <v>570</v>
      </c>
      <c r="E63" s="795"/>
      <c r="F63" s="175" t="s">
        <v>115</v>
      </c>
      <c r="G63" s="255">
        <f>H63+J63</f>
        <v>257</v>
      </c>
      <c r="H63" s="255">
        <v>20</v>
      </c>
      <c r="I63" s="1184" t="s">
        <v>844</v>
      </c>
      <c r="J63" s="255">
        <v>237</v>
      </c>
      <c r="K63" s="1190" t="s">
        <v>948</v>
      </c>
      <c r="L63" s="255">
        <v>44</v>
      </c>
      <c r="M63" s="1190" t="s">
        <v>846</v>
      </c>
      <c r="N63" s="795"/>
      <c r="O63" s="175" t="s">
        <v>115</v>
      </c>
      <c r="P63" s="177">
        <f>SUM(Q63,U63,W63)</f>
        <v>203</v>
      </c>
      <c r="Q63" s="274"/>
      <c r="R63" s="1193"/>
      <c r="S63" s="795"/>
      <c r="T63" s="175" t="s">
        <v>115</v>
      </c>
      <c r="U63" s="255">
        <v>200</v>
      </c>
      <c r="V63" s="1190" t="s">
        <v>847</v>
      </c>
      <c r="W63" s="784">
        <v>3</v>
      </c>
      <c r="X63" s="1190" t="s">
        <v>575</v>
      </c>
      <c r="Y63" s="765"/>
      <c r="Z63" s="795"/>
      <c r="AA63" s="765"/>
      <c r="AD63" s="33" t="str">
        <f>C63&amp;F63</f>
        <v>South AfricaLC bn</v>
      </c>
    </row>
    <row r="64" spans="1:30" s="796" customFormat="1" ht="110.15" customHeight="1">
      <c r="A64" s="1268"/>
      <c r="B64" s="1268"/>
      <c r="C64" s="1256"/>
      <c r="D64" s="1253"/>
      <c r="F64" s="175" t="s">
        <v>116</v>
      </c>
      <c r="G64" s="251" t="e">
        <f>G63/#REF!</f>
        <v>#REF!</v>
      </c>
      <c r="H64" s="258" t="e">
        <f>H63/VLOOKUP($C63,#REF!,7,0)</f>
        <v>#REF!</v>
      </c>
      <c r="I64" s="1185"/>
      <c r="J64" s="418" t="e">
        <f>J63/VLOOKUP($C63,#REF!,7,0)</f>
        <v>#REF!</v>
      </c>
      <c r="K64" s="1191"/>
      <c r="L64" s="172" t="e">
        <f>L63/VLOOKUP($C63,#REF!,7,0)</f>
        <v>#REF!</v>
      </c>
      <c r="M64" s="1191"/>
      <c r="O64" s="175" t="s">
        <v>116</v>
      </c>
      <c r="P64" s="118" t="e">
        <f>SUM(Q64,U64, W64)</f>
        <v>#REF!</v>
      </c>
      <c r="Q64" s="269"/>
      <c r="R64" s="1196"/>
      <c r="T64" s="175" t="s">
        <v>116</v>
      </c>
      <c r="U64" s="257" t="e">
        <f>U63/VLOOKUP(C63,#REF!,7,0)</f>
        <v>#REF!</v>
      </c>
      <c r="V64" s="1191"/>
      <c r="W64" s="785" t="e">
        <f>W63/VLOOKUP(C63,#REF!,7,0)</f>
        <v>#REF!</v>
      </c>
      <c r="X64" s="1191"/>
      <c r="Y64" s="766"/>
      <c r="AA64" s="766"/>
      <c r="AD64" s="33" t="str">
        <f>C63&amp;F64</f>
        <v>South AfricaUSD bn</v>
      </c>
    </row>
    <row r="65" spans="1:30" ht="132.65" customHeight="1">
      <c r="A65" s="1268"/>
      <c r="B65" s="1268"/>
      <c r="C65" s="1257"/>
      <c r="D65" s="1254"/>
      <c r="E65" s="12"/>
      <c r="F65" s="53" t="s">
        <v>117</v>
      </c>
      <c r="G65" s="252" t="e">
        <f>G63/#REF!*100</f>
        <v>#REF!</v>
      </c>
      <c r="H65" s="252" t="e">
        <f>(H63/VLOOKUP($C63,#REF!,4,0))*100</f>
        <v>#REF!</v>
      </c>
      <c r="I65" s="1186"/>
      <c r="J65" s="173" t="e">
        <f>(J63/VLOOKUP($C63,#REF!,4,0))*100</f>
        <v>#REF!</v>
      </c>
      <c r="K65" s="1192"/>
      <c r="L65" s="173" t="e">
        <f>(L63/VLOOKUP($C63,#REF!,4,0))*100</f>
        <v>#REF!</v>
      </c>
      <c r="M65" s="1192"/>
      <c r="N65" s="12"/>
      <c r="O65" s="53" t="s">
        <v>117</v>
      </c>
      <c r="P65" s="17" t="e">
        <f>SUM(Q65,U65, W64)</f>
        <v>#REF!</v>
      </c>
      <c r="Q65" s="267"/>
      <c r="R65" s="1197"/>
      <c r="S65" s="12"/>
      <c r="T65" s="53" t="s">
        <v>117</v>
      </c>
      <c r="U65" s="252" t="e">
        <f>(U63/VLOOKUP(C63,#REF!,4,0))*100</f>
        <v>#REF!</v>
      </c>
      <c r="V65" s="1192"/>
      <c r="W65" s="790" t="e">
        <f>(W63/VLOOKUP(C63,#REF!,4,0))*100</f>
        <v>#REF!</v>
      </c>
      <c r="X65" s="1192"/>
      <c r="Y65" s="767"/>
      <c r="Z65" s="52"/>
      <c r="AA65" s="788"/>
      <c r="AD65" s="33" t="str">
        <f>C63&amp;F65</f>
        <v>South Africa% GDP</v>
      </c>
    </row>
    <row r="66" spans="1:30" s="37" customFormat="1" ht="88.5" customHeight="1">
      <c r="A66" s="1268">
        <v>1</v>
      </c>
      <c r="B66" s="1268" t="s">
        <v>861</v>
      </c>
      <c r="C66" s="1256" t="s">
        <v>18</v>
      </c>
      <c r="D66" s="1253" t="s">
        <v>572</v>
      </c>
      <c r="E66" s="14"/>
      <c r="F66" s="175" t="s">
        <v>115</v>
      </c>
      <c r="G66" s="255">
        <v>33.9</v>
      </c>
      <c r="H66" s="776">
        <v>13.5</v>
      </c>
      <c r="I66" s="1190" t="s">
        <v>1003</v>
      </c>
      <c r="J66" s="119">
        <f>G66-H66</f>
        <v>20.399999999999999</v>
      </c>
      <c r="K66" s="1190" t="s">
        <v>1002</v>
      </c>
      <c r="L66" s="119">
        <v>66.5</v>
      </c>
      <c r="M66" s="1190" t="s">
        <v>1004</v>
      </c>
      <c r="N66" s="14"/>
      <c r="O66" s="175" t="s">
        <v>115</v>
      </c>
      <c r="P66" s="177">
        <f>Q66+U66+W66</f>
        <v>583.6</v>
      </c>
      <c r="Q66" s="274">
        <v>20</v>
      </c>
      <c r="R66" s="1193" t="s">
        <v>848</v>
      </c>
      <c r="S66" s="14"/>
      <c r="T66" s="175" t="s">
        <v>115</v>
      </c>
      <c r="U66" s="255">
        <v>457.7</v>
      </c>
      <c r="V66" s="1184" t="s">
        <v>988</v>
      </c>
      <c r="W66" s="177">
        <v>105.9</v>
      </c>
      <c r="X66" s="1193" t="s">
        <v>1005</v>
      </c>
      <c r="Y66" s="765"/>
      <c r="Z66" s="14"/>
      <c r="AA66" s="765"/>
      <c r="AD66" s="33" t="str">
        <f>C66&amp;F66</f>
        <v>TurkeyLC bn</v>
      </c>
    </row>
    <row r="67" spans="1:30" s="37" customFormat="1" ht="110.15" customHeight="1">
      <c r="A67" s="1268"/>
      <c r="B67" s="1268"/>
      <c r="C67" s="1256"/>
      <c r="D67" s="1253"/>
      <c r="F67" s="175" t="s">
        <v>116</v>
      </c>
      <c r="G67" s="258" t="e">
        <f>G66/VLOOKUP(C66,#REF!,7,0)</f>
        <v>#REF!</v>
      </c>
      <c r="H67" s="785" t="e">
        <f>H66/VLOOKUP($C66,#REF!,7,0)</f>
        <v>#REF!</v>
      </c>
      <c r="I67" s="1191"/>
      <c r="J67" s="172" t="e">
        <f>J66/VLOOKUP($C66,#REF!,7,0)</f>
        <v>#REF!</v>
      </c>
      <c r="K67" s="1191"/>
      <c r="L67" s="172" t="e">
        <f>L66/VLOOKUP($C66,#REF!,7,0)</f>
        <v>#REF!</v>
      </c>
      <c r="M67" s="1191"/>
      <c r="O67" s="175" t="s">
        <v>116</v>
      </c>
      <c r="P67" s="418" t="e">
        <f>P66/VLOOKUP($C66,#REF!,7,0)</f>
        <v>#REF!</v>
      </c>
      <c r="Q67" s="172" t="e">
        <f>Q66/VLOOKUP($C66,#REF!,7,0)</f>
        <v>#REF!</v>
      </c>
      <c r="R67" s="1196"/>
      <c r="T67" s="175" t="s">
        <v>116</v>
      </c>
      <c r="U67" s="251" t="e">
        <f>U66/VLOOKUP(C66,#REF!,7,0)</f>
        <v>#REF!</v>
      </c>
      <c r="V67" s="1185"/>
      <c r="W67" s="251" t="e">
        <f>W66/VLOOKUP(C66,#REF!,7,0)</f>
        <v>#REF!</v>
      </c>
      <c r="X67" s="1196"/>
      <c r="Y67" s="766"/>
      <c r="AA67" s="766"/>
      <c r="AD67" s="33" t="str">
        <f>C66&amp;F67</f>
        <v>TurkeyUSD bn</v>
      </c>
    </row>
    <row r="68" spans="1:30" ht="119.5" customHeight="1">
      <c r="A68" s="1268"/>
      <c r="B68" s="1268"/>
      <c r="C68" s="1257"/>
      <c r="D68" s="1254"/>
      <c r="E68" s="12"/>
      <c r="F68" s="53" t="s">
        <v>117</v>
      </c>
      <c r="G68" s="252" t="e">
        <f>(G66/VLOOKUP(C66,#REF!,4,0))*100</f>
        <v>#REF!</v>
      </c>
      <c r="H68" s="716" t="e">
        <f>(H66/VLOOKUP($C66,#REF!,4,0))*100</f>
        <v>#REF!</v>
      </c>
      <c r="I68" s="1192"/>
      <c r="J68" s="173" t="e">
        <f>(J66/VLOOKUP($C66,#REF!,4,0))*100</f>
        <v>#REF!</v>
      </c>
      <c r="K68" s="1192"/>
      <c r="L68" s="173" t="e">
        <f>(L66/VLOOKUP($C66,#REF!,4,0))*100</f>
        <v>#REF!</v>
      </c>
      <c r="M68" s="1192"/>
      <c r="N68" s="12"/>
      <c r="O68" s="53" t="s">
        <v>117</v>
      </c>
      <c r="P68" s="173" t="e">
        <f>(P66/VLOOKUP($C66,#REF!,4,0))*100</f>
        <v>#REF!</v>
      </c>
      <c r="Q68" s="173" t="e">
        <f>(Q66/VLOOKUP($C66,#REF!,4,0))*100</f>
        <v>#REF!</v>
      </c>
      <c r="R68" s="1197"/>
      <c r="S68" s="12"/>
      <c r="T68" s="53" t="s">
        <v>117</v>
      </c>
      <c r="U68" s="252" t="e">
        <f>(U66/VLOOKUP(C66,#REF!,4,0))*100</f>
        <v>#REF!</v>
      </c>
      <c r="V68" s="1186"/>
      <c r="W68" s="252" t="e">
        <f>(W66/VLOOKUP(C66,#REF!,4,0))*100</f>
        <v>#REF!</v>
      </c>
      <c r="X68" s="1197"/>
      <c r="Y68" s="767"/>
      <c r="Z68" s="52"/>
      <c r="AA68" s="788"/>
      <c r="AD68" s="33" t="str">
        <f>C66&amp;F68</f>
        <v>Turkey% GDP</v>
      </c>
    </row>
    <row r="69" spans="1:30" ht="66" customHeight="1">
      <c r="A69" s="1268">
        <v>0</v>
      </c>
      <c r="B69" s="1268" t="s">
        <v>858</v>
      </c>
      <c r="C69" s="1256" t="s">
        <v>547</v>
      </c>
      <c r="D69" s="1253" t="s">
        <v>570</v>
      </c>
      <c r="F69" s="175" t="s">
        <v>115</v>
      </c>
      <c r="G69" s="251">
        <f>H69+J69</f>
        <v>15.7</v>
      </c>
      <c r="H69" s="258">
        <v>3.3</v>
      </c>
      <c r="I69" s="1318" t="s">
        <v>990</v>
      </c>
      <c r="J69" s="103">
        <v>12.4</v>
      </c>
      <c r="K69" s="1190" t="s">
        <v>851</v>
      </c>
      <c r="L69" s="103">
        <v>14.8</v>
      </c>
      <c r="M69" s="1184" t="s">
        <v>991</v>
      </c>
      <c r="O69" s="175" t="s">
        <v>115</v>
      </c>
      <c r="P69" s="496">
        <f t="shared" ref="P69:P80" si="5">Q69+U69+W69</f>
        <v>52</v>
      </c>
      <c r="Q69" s="269"/>
      <c r="R69" s="58"/>
      <c r="T69" s="175" t="s">
        <v>115</v>
      </c>
      <c r="U69" s="251">
        <v>52</v>
      </c>
      <c r="V69" s="1184" t="s">
        <v>992</v>
      </c>
      <c r="W69" s="58"/>
      <c r="X69" s="58"/>
      <c r="AD69" s="33" t="str">
        <f>C69&amp;F69</f>
        <v>BelgiumLC bn</v>
      </c>
    </row>
    <row r="70" spans="1:30" ht="99.65" customHeight="1">
      <c r="A70" s="1268"/>
      <c r="B70" s="1268"/>
      <c r="C70" s="1256"/>
      <c r="D70" s="1253"/>
      <c r="F70" s="175" t="s">
        <v>116</v>
      </c>
      <c r="G70" s="251" t="e">
        <f>G69/VLOOKUP($C69,#REF!,7,0)</f>
        <v>#REF!</v>
      </c>
      <c r="H70" s="258" t="e">
        <f>H69/VLOOKUP($C69,#REF!,7,0)</f>
        <v>#REF!</v>
      </c>
      <c r="I70" s="1185"/>
      <c r="J70" s="251" t="e">
        <f>J69/VLOOKUP($C69,#REF!,7,0)</f>
        <v>#REF!</v>
      </c>
      <c r="K70" s="1238"/>
      <c r="L70" s="251" t="e">
        <f>L69/VLOOKUP($C69,#REF!,7,0)</f>
        <v>#REF!</v>
      </c>
      <c r="M70" s="1219"/>
      <c r="O70" s="175" t="s">
        <v>116</v>
      </c>
      <c r="P70" s="497" t="e">
        <f t="shared" si="5"/>
        <v>#REF!</v>
      </c>
      <c r="Q70" s="251"/>
      <c r="R70" s="58"/>
      <c r="T70" s="175" t="s">
        <v>116</v>
      </c>
      <c r="U70" s="251" t="e">
        <f>U69/VLOOKUP($C69,#REF!,7,0)</f>
        <v>#REF!</v>
      </c>
      <c r="V70" s="1219"/>
      <c r="W70" s="58"/>
      <c r="X70" s="58"/>
      <c r="AD70" s="33" t="str">
        <f>C69&amp;F70</f>
        <v>BelgiumUSD bn</v>
      </c>
    </row>
    <row r="71" spans="1:30" ht="169.5" customHeight="1">
      <c r="A71" s="1268"/>
      <c r="B71" s="1268"/>
      <c r="C71" s="1257"/>
      <c r="D71" s="1254"/>
      <c r="F71" s="53" t="s">
        <v>117</v>
      </c>
      <c r="G71" s="252" t="e">
        <f>G69/VLOOKUP($C69,#REF!,4,0)*100</f>
        <v>#REF!</v>
      </c>
      <c r="H71" s="252" t="e">
        <f>H69/VLOOKUP($C69,#REF!,4,0)*100</f>
        <v>#REF!</v>
      </c>
      <c r="I71" s="1186"/>
      <c r="J71" s="252" t="e">
        <f>J69/VLOOKUP($C69,#REF!,4,0)*100</f>
        <v>#REF!</v>
      </c>
      <c r="K71" s="1192"/>
      <c r="L71" s="252" t="e">
        <f>L69/VLOOKUP($C69,#REF!,4,0)*100</f>
        <v>#REF!</v>
      </c>
      <c r="M71" s="1186"/>
      <c r="O71" s="53" t="s">
        <v>117</v>
      </c>
      <c r="P71" s="499" t="e">
        <f t="shared" si="5"/>
        <v>#REF!</v>
      </c>
      <c r="Q71" s="252"/>
      <c r="R71" s="58"/>
      <c r="T71" s="53" t="s">
        <v>117</v>
      </c>
      <c r="U71" s="252" t="e">
        <f>U69/VLOOKUP($C69,#REF!,4,0)*100</f>
        <v>#REF!</v>
      </c>
      <c r="V71" s="1186"/>
      <c r="W71" s="58"/>
      <c r="X71" s="58"/>
      <c r="AD71" s="33" t="str">
        <f>C69&amp;F71</f>
        <v>Belgium% GDP</v>
      </c>
    </row>
    <row r="72" spans="1:30" ht="159.65" customHeight="1">
      <c r="A72" s="1268">
        <v>0</v>
      </c>
      <c r="B72" s="1268" t="s">
        <v>858</v>
      </c>
      <c r="C72" s="1256" t="s">
        <v>542</v>
      </c>
      <c r="D72" s="1253" t="s">
        <v>570</v>
      </c>
      <c r="E72" s="15"/>
      <c r="F72" s="175" t="s">
        <v>115</v>
      </c>
      <c r="G72" s="255">
        <f>H72+J72</f>
        <v>220</v>
      </c>
      <c r="H72" s="776">
        <v>47</v>
      </c>
      <c r="I72" s="1190" t="s">
        <v>717</v>
      </c>
      <c r="J72" s="255">
        <v>173</v>
      </c>
      <c r="K72" s="1190" t="s">
        <v>761</v>
      </c>
      <c r="L72" s="770"/>
      <c r="M72" s="1190" t="s">
        <v>718</v>
      </c>
      <c r="N72" s="14"/>
      <c r="O72" s="175" t="s">
        <v>115</v>
      </c>
      <c r="P72" s="496">
        <f t="shared" si="5"/>
        <v>830.8</v>
      </c>
      <c r="Q72" s="276">
        <v>0.8</v>
      </c>
      <c r="R72" s="1190" t="s">
        <v>719</v>
      </c>
      <c r="S72" s="14"/>
      <c r="T72" s="175" t="s">
        <v>115</v>
      </c>
      <c r="U72" s="255">
        <v>830</v>
      </c>
      <c r="V72" s="1193" t="s">
        <v>1162</v>
      </c>
      <c r="W72" s="255"/>
      <c r="X72" s="1184"/>
      <c r="AD72" s="33" t="str">
        <f>C72&amp;F72</f>
        <v>Czech RepublicLC bn</v>
      </c>
    </row>
    <row r="73" spans="1:30" ht="182.15" customHeight="1">
      <c r="A73" s="1268"/>
      <c r="B73" s="1268"/>
      <c r="C73" s="1256"/>
      <c r="D73" s="1253"/>
      <c r="F73" s="175" t="s">
        <v>116</v>
      </c>
      <c r="G73" s="251" t="e">
        <f>G72/VLOOKUP($C72,#REF!,7,0)</f>
        <v>#REF!</v>
      </c>
      <c r="H73" s="785" t="e">
        <f>H72/VLOOKUP($C72,#REF!,7,0)</f>
        <v>#REF!</v>
      </c>
      <c r="I73" s="1238"/>
      <c r="J73" s="258" t="e">
        <f>J72/VLOOKUP($C72,#REF!,7,0)</f>
        <v>#REF!</v>
      </c>
      <c r="K73" s="1238"/>
      <c r="L73" s="771"/>
      <c r="M73" s="1238"/>
      <c r="N73" s="37"/>
      <c r="O73" s="175" t="s">
        <v>116</v>
      </c>
      <c r="P73" s="497" t="e">
        <f t="shared" si="5"/>
        <v>#REF!</v>
      </c>
      <c r="Q73" s="277" t="e">
        <f>Q72/VLOOKUP($C72,#REF!,7,0)</f>
        <v>#REF!</v>
      </c>
      <c r="R73" s="1238"/>
      <c r="S73" s="37"/>
      <c r="T73" s="175" t="s">
        <v>116</v>
      </c>
      <c r="U73" s="251" t="e">
        <f>U72/VLOOKUP($C72,#REF!,7,0)</f>
        <v>#REF!</v>
      </c>
      <c r="V73" s="1216"/>
      <c r="W73" s="258"/>
      <c r="X73" s="1185"/>
      <c r="AD73" s="33" t="str">
        <f>C72&amp;F73</f>
        <v>Czech RepublicUSD bn</v>
      </c>
    </row>
    <row r="74" spans="1:30" ht="165" customHeight="1">
      <c r="A74" s="1268"/>
      <c r="B74" s="1268"/>
      <c r="C74" s="1257"/>
      <c r="D74" s="1254"/>
      <c r="F74" s="53" t="s">
        <v>117</v>
      </c>
      <c r="G74" s="252" t="e">
        <f>G72/VLOOKUP($C72,#REF!,4,0)*100</f>
        <v>#REF!</v>
      </c>
      <c r="H74" s="808" t="e">
        <f>H72/VLOOKUP($C72,#REF!,4,0)*100</f>
        <v>#REF!</v>
      </c>
      <c r="I74" s="1192"/>
      <c r="J74" s="252" t="e">
        <f>J72/VLOOKUP($C72,#REF!,4,0)*100</f>
        <v>#REF!</v>
      </c>
      <c r="K74" s="1192"/>
      <c r="L74" s="772"/>
      <c r="M74" s="1192"/>
      <c r="N74" s="12"/>
      <c r="O74" s="53" t="s">
        <v>117</v>
      </c>
      <c r="P74" s="499" t="e">
        <f t="shared" si="5"/>
        <v>#REF!</v>
      </c>
      <c r="Q74" s="267" t="e">
        <f>Q72/VLOOKUP($C72,#REF!,4,0)*100</f>
        <v>#REF!</v>
      </c>
      <c r="R74" s="1192"/>
      <c r="S74" s="12"/>
      <c r="T74" s="53" t="s">
        <v>117</v>
      </c>
      <c r="U74" s="252" t="e">
        <f>U72/VLOOKUP($C72,#REF!,4,0)*100</f>
        <v>#REF!</v>
      </c>
      <c r="V74" s="1197"/>
      <c r="W74" s="252"/>
      <c r="X74" s="1186"/>
      <c r="AD74" s="33" t="str">
        <f>C72&amp;F74</f>
        <v>Czech Republic% GDP</v>
      </c>
    </row>
    <row r="75" spans="1:30" s="796" customFormat="1" ht="57.65" customHeight="1">
      <c r="A75" s="1268">
        <v>0</v>
      </c>
      <c r="B75" s="1268" t="s">
        <v>858</v>
      </c>
      <c r="C75" s="1256" t="s">
        <v>19</v>
      </c>
      <c r="D75" s="1253" t="s">
        <v>570</v>
      </c>
      <c r="E75" s="795"/>
      <c r="F75" s="175" t="s">
        <v>115</v>
      </c>
      <c r="G75" s="257">
        <v>131.4</v>
      </c>
      <c r="H75" s="777">
        <v>0.8</v>
      </c>
      <c r="I75" s="1221" t="s">
        <v>785</v>
      </c>
      <c r="J75" s="118">
        <f>G75-H75</f>
        <v>130.6</v>
      </c>
      <c r="K75" s="1190" t="s">
        <v>1140</v>
      </c>
      <c r="L75" s="190">
        <v>175.4</v>
      </c>
      <c r="M75" s="1219" t="s">
        <v>1141</v>
      </c>
      <c r="O75" s="175" t="s">
        <v>115</v>
      </c>
      <c r="P75" s="496">
        <f t="shared" si="5"/>
        <v>201.20000000000002</v>
      </c>
      <c r="Q75" s="265">
        <v>58.9</v>
      </c>
      <c r="R75" s="1219" t="s">
        <v>1142</v>
      </c>
      <c r="T75" s="175" t="s">
        <v>115</v>
      </c>
      <c r="U75" s="257">
        <v>142.30000000000001</v>
      </c>
      <c r="V75" s="1219" t="s">
        <v>1143</v>
      </c>
      <c r="W75" s="766"/>
      <c r="X75" s="766"/>
      <c r="Y75" s="1185" t="s">
        <v>109</v>
      </c>
      <c r="AA75" s="517" t="s">
        <v>611</v>
      </c>
      <c r="AD75" s="33" t="str">
        <f>C75&amp;F75</f>
        <v>DenmarkLC bn</v>
      </c>
    </row>
    <row r="76" spans="1:30" ht="104.15" customHeight="1">
      <c r="A76" s="1268"/>
      <c r="B76" s="1268"/>
      <c r="C76" s="1256"/>
      <c r="D76" s="1253"/>
      <c r="E76" s="35"/>
      <c r="F76" s="175" t="s">
        <v>116</v>
      </c>
      <c r="G76" s="251" t="e">
        <f>G75/VLOOKUP(C75,#REF!,7,0)</f>
        <v>#REF!</v>
      </c>
      <c r="H76" s="495" t="e">
        <f>H75/VLOOKUP(C75,#REF!,7,0)</f>
        <v>#REF!</v>
      </c>
      <c r="I76" s="1221"/>
      <c r="J76" s="251" t="e">
        <f>J75/VLOOKUP($C75,#REF!,7,0)</f>
        <v>#REF!</v>
      </c>
      <c r="K76" s="1238"/>
      <c r="L76" s="251" t="e">
        <f>L75/VLOOKUP($C75,#REF!,7,0)</f>
        <v>#REF!</v>
      </c>
      <c r="M76" s="1219"/>
      <c r="N76" s="35"/>
      <c r="O76" s="175" t="s">
        <v>116</v>
      </c>
      <c r="P76" s="497" t="e">
        <f t="shared" si="5"/>
        <v>#REF!</v>
      </c>
      <c r="Q76" s="269" t="e">
        <f>Q75/VLOOKUP(C75,#REF!,7,0)</f>
        <v>#REF!</v>
      </c>
      <c r="R76" s="1308"/>
      <c r="S76" s="35"/>
      <c r="T76" s="175" t="s">
        <v>116</v>
      </c>
      <c r="U76" s="251" t="e">
        <f>U75/VLOOKUP(C75,#REF!,7,0)</f>
        <v>#REF!</v>
      </c>
      <c r="V76" s="1219"/>
      <c r="W76" s="766"/>
      <c r="X76" s="766"/>
      <c r="Y76" s="1185"/>
      <c r="AA76" s="517" t="s">
        <v>612</v>
      </c>
      <c r="AD76" s="33" t="str">
        <f>C75&amp;F76</f>
        <v>DenmarkUSD bn</v>
      </c>
    </row>
    <row r="77" spans="1:30" ht="170.15" customHeight="1">
      <c r="A77" s="1268"/>
      <c r="B77" s="1268"/>
      <c r="C77" s="1257"/>
      <c r="D77" s="1254"/>
      <c r="E77" s="35"/>
      <c r="F77" s="175" t="s">
        <v>117</v>
      </c>
      <c r="G77" s="258" t="e">
        <f>(G75/VLOOKUP(C75,#REF!,4,0))*100</f>
        <v>#REF!</v>
      </c>
      <c r="H77" s="495" t="e">
        <f>(H75/VLOOKUP(C75,#REF!,4,0))*100</f>
        <v>#REF!</v>
      </c>
      <c r="I77" s="1222"/>
      <c r="J77" s="252" t="e">
        <f>J75/VLOOKUP($C75,#REF!,4,0)*100</f>
        <v>#REF!</v>
      </c>
      <c r="K77" s="1192"/>
      <c r="L77" s="252" t="e">
        <f>L75/VLOOKUP($C75,#REF!,4,0)*100</f>
        <v>#REF!</v>
      </c>
      <c r="M77" s="1186"/>
      <c r="N77" s="35"/>
      <c r="O77" s="175" t="s">
        <v>117</v>
      </c>
      <c r="P77" s="499" t="e">
        <f t="shared" si="5"/>
        <v>#REF!</v>
      </c>
      <c r="Q77" s="269" t="e">
        <f>(Q75/VLOOKUP(C75,#REF!,4,0))*100</f>
        <v>#REF!</v>
      </c>
      <c r="R77" s="1204"/>
      <c r="S77" s="35"/>
      <c r="T77" s="175" t="s">
        <v>117</v>
      </c>
      <c r="U77" s="258" t="e">
        <f>(U75/VLOOKUP(C75,#REF!,4,0))*100</f>
        <v>#REF!</v>
      </c>
      <c r="V77" s="1186"/>
      <c r="W77" s="766"/>
      <c r="X77" s="766"/>
      <c r="Y77" s="1186"/>
      <c r="AA77" s="517" t="s">
        <v>613</v>
      </c>
      <c r="AD77" s="33" t="str">
        <f>C75&amp;F77</f>
        <v>Denmark% GDP</v>
      </c>
    </row>
    <row r="78" spans="1:30" s="15" customFormat="1" ht="50.15" customHeight="1">
      <c r="A78" s="1268">
        <v>0</v>
      </c>
      <c r="B78" s="1268" t="s">
        <v>858</v>
      </c>
      <c r="C78" s="1256" t="s">
        <v>20</v>
      </c>
      <c r="D78" s="1253" t="s">
        <v>570</v>
      </c>
      <c r="F78" s="38" t="s">
        <v>115</v>
      </c>
      <c r="G78" s="806">
        <f>H78+J78</f>
        <v>6.9590000000000005</v>
      </c>
      <c r="H78" s="784">
        <v>1.4610000000000001</v>
      </c>
      <c r="I78" s="1184" t="s">
        <v>714</v>
      </c>
      <c r="J78" s="516">
        <v>5.4980000000000002</v>
      </c>
      <c r="K78" s="1184" t="s">
        <v>741</v>
      </c>
      <c r="L78" s="551">
        <v>5.25</v>
      </c>
      <c r="M78" s="1220" t="s">
        <v>715</v>
      </c>
      <c r="O78" s="38" t="s">
        <v>115</v>
      </c>
      <c r="P78" s="496">
        <f t="shared" si="5"/>
        <v>16.32</v>
      </c>
      <c r="Q78" s="268">
        <f>0.85+0.5+1.07</f>
        <v>2.42</v>
      </c>
      <c r="R78" s="1190" t="s">
        <v>716</v>
      </c>
      <c r="T78" s="38" t="s">
        <v>115</v>
      </c>
      <c r="U78" s="105">
        <v>12.9</v>
      </c>
      <c r="V78" s="1184" t="s">
        <v>609</v>
      </c>
      <c r="W78" s="784">
        <v>1</v>
      </c>
      <c r="X78" s="1184" t="s">
        <v>230</v>
      </c>
      <c r="Y78" s="1184" t="s">
        <v>233</v>
      </c>
      <c r="AA78" s="156" t="s">
        <v>46</v>
      </c>
      <c r="AD78" s="33" t="str">
        <f>C78&amp;F78</f>
        <v>FinlandLC bn</v>
      </c>
    </row>
    <row r="79" spans="1:30" s="55" customFormat="1" ht="72" customHeight="1">
      <c r="A79" s="1268"/>
      <c r="B79" s="1268"/>
      <c r="C79" s="1256"/>
      <c r="D79" s="1253"/>
      <c r="F79" s="175" t="s">
        <v>116</v>
      </c>
      <c r="G79" s="258" t="e">
        <f>G78/VLOOKUP(C78,#REF!,7,0)</f>
        <v>#REF!</v>
      </c>
      <c r="H79" s="258" t="e">
        <f>H78/VLOOKUP($C78,#REF!,7,0)</f>
        <v>#REF!</v>
      </c>
      <c r="I79" s="1308"/>
      <c r="J79" s="258" t="e">
        <f>J78/VLOOKUP($C78,#REF!,7,0)</f>
        <v>#REF!</v>
      </c>
      <c r="K79" s="1219"/>
      <c r="L79" s="410" t="e">
        <f>L78/VLOOKUP($C78,#REF!,7,0)</f>
        <v>#REF!</v>
      </c>
      <c r="M79" s="1287"/>
      <c r="O79" s="175" t="s">
        <v>116</v>
      </c>
      <c r="P79" s="497" t="e">
        <f t="shared" si="5"/>
        <v>#REF!</v>
      </c>
      <c r="Q79" s="269" t="e">
        <f>Q78/VLOOKUP(C78,#REF!,7,0)</f>
        <v>#REF!</v>
      </c>
      <c r="R79" s="1238"/>
      <c r="T79" s="175" t="s">
        <v>116</v>
      </c>
      <c r="U79" s="251" t="e">
        <f>U78/VLOOKUP(C78,#REF!,7,0)</f>
        <v>#REF!</v>
      </c>
      <c r="V79" s="1219"/>
      <c r="W79" s="785" t="e">
        <f>W78/VLOOKUP($C78,#REF!,7,0)</f>
        <v>#REF!</v>
      </c>
      <c r="X79" s="1219"/>
      <c r="Y79" s="1186"/>
      <c r="AA79" s="157"/>
      <c r="AD79" s="33" t="str">
        <f>C78&amp;F79</f>
        <v>FinlandUSD bn</v>
      </c>
    </row>
    <row r="80" spans="1:30" ht="117.65" customHeight="1">
      <c r="A80" s="1268"/>
      <c r="B80" s="1268"/>
      <c r="C80" s="1257"/>
      <c r="D80" s="1254"/>
      <c r="E80" s="12"/>
      <c r="F80" s="53" t="s">
        <v>117</v>
      </c>
      <c r="G80" s="252" t="e">
        <f>(G78/VLOOKUP(C78,#REF!,4,0))*100</f>
        <v>#REF!</v>
      </c>
      <c r="H80" s="252" t="e">
        <f>(H78/VLOOKUP($C78,#REF!,4,0))*100</f>
        <v>#REF!</v>
      </c>
      <c r="I80" s="1204"/>
      <c r="J80" s="252" t="e">
        <f>J78/VLOOKUP($C78,#REF!,4,0)*100</f>
        <v>#REF!</v>
      </c>
      <c r="K80" s="1186"/>
      <c r="L80" s="411" t="e">
        <f>(L78/VLOOKUP($C78,#REF!,4,0))*100</f>
        <v>#REF!</v>
      </c>
      <c r="M80" s="1222"/>
      <c r="N80" s="12"/>
      <c r="O80" s="53" t="s">
        <v>117</v>
      </c>
      <c r="P80" s="499" t="e">
        <f t="shared" si="5"/>
        <v>#REF!</v>
      </c>
      <c r="Q80" s="267" t="e">
        <f>(Q78/VLOOKUP(C78,#REF!,4,0))*100</f>
        <v>#REF!</v>
      </c>
      <c r="R80" s="1192"/>
      <c r="S80" s="12"/>
      <c r="T80" s="53" t="s">
        <v>117</v>
      </c>
      <c r="U80" s="252" t="e">
        <f>(U78/VLOOKUP(C78,#REF!,4,0))*100</f>
        <v>#REF!</v>
      </c>
      <c r="V80" s="1186"/>
      <c r="W80" s="790" t="e">
        <f>(W78/VLOOKUP($C78,#REF!,4,0))*100</f>
        <v>#REF!</v>
      </c>
      <c r="X80" s="1186"/>
      <c r="Y80" s="782" t="s">
        <v>234</v>
      </c>
      <c r="Z80" s="52"/>
      <c r="AA80" s="158"/>
      <c r="AD80" s="33" t="str">
        <f>C78&amp;F80</f>
        <v>Finland% GDP</v>
      </c>
    </row>
    <row r="81" spans="1:30" ht="105" customHeight="1">
      <c r="A81" s="1268">
        <v>0</v>
      </c>
      <c r="B81" s="1268" t="s">
        <v>858</v>
      </c>
      <c r="C81" s="1256" t="s">
        <v>184</v>
      </c>
      <c r="D81" s="1252" t="s">
        <v>570</v>
      </c>
      <c r="E81" s="14"/>
      <c r="F81" s="38" t="s">
        <v>115</v>
      </c>
      <c r="G81" s="255">
        <f>H81+J81</f>
        <v>36.599999999999994</v>
      </c>
      <c r="H81" s="258">
        <v>2.2999999999999998</v>
      </c>
      <c r="I81" s="1193" t="s">
        <v>599</v>
      </c>
      <c r="J81" s="177">
        <v>34.299999999999997</v>
      </c>
      <c r="K81" s="1184" t="s">
        <v>997</v>
      </c>
      <c r="L81" s="177">
        <v>27</v>
      </c>
      <c r="M81" s="1193" t="s">
        <v>998</v>
      </c>
      <c r="N81" s="14"/>
      <c r="O81" s="175" t="s">
        <v>115</v>
      </c>
      <c r="P81" s="177">
        <f>Q81+U81+W81</f>
        <v>33</v>
      </c>
      <c r="Q81" s="276"/>
      <c r="R81" s="1184"/>
      <c r="S81" s="14"/>
      <c r="T81" s="175" t="s">
        <v>115</v>
      </c>
      <c r="U81" s="255">
        <v>33</v>
      </c>
      <c r="V81" s="1184" t="s">
        <v>600</v>
      </c>
      <c r="W81" s="765"/>
      <c r="X81" s="765"/>
      <c r="Y81" s="1184" t="s">
        <v>110</v>
      </c>
      <c r="Z81" s="14"/>
      <c r="AA81" s="1225" t="s">
        <v>47</v>
      </c>
      <c r="AD81" s="33" t="str">
        <f>C81&amp;F81</f>
        <v>The NetherlandsLC bn</v>
      </c>
    </row>
    <row r="82" spans="1:30" ht="101.5" customHeight="1">
      <c r="A82" s="1268"/>
      <c r="B82" s="1268"/>
      <c r="C82" s="1256"/>
      <c r="D82" s="1253"/>
      <c r="E82" s="37"/>
      <c r="F82" s="175" t="s">
        <v>116</v>
      </c>
      <c r="G82" s="251" t="e">
        <f>G81/VLOOKUP(C81,#REF!,7,0)</f>
        <v>#REF!</v>
      </c>
      <c r="H82" s="258" t="e">
        <f>H81/VLOOKUP($C81,#REF!,7,0)</f>
        <v>#REF!</v>
      </c>
      <c r="I82" s="1203"/>
      <c r="J82" s="251" t="e">
        <f>J81/VLOOKUP($C81,#REF!,7,0)</f>
        <v>#REF!</v>
      </c>
      <c r="K82" s="1219"/>
      <c r="L82" s="251" t="e">
        <f>L81/VLOOKUP($C81,#REF!,7,0)</f>
        <v>#REF!</v>
      </c>
      <c r="M82" s="1196"/>
      <c r="N82" s="37"/>
      <c r="O82" s="175" t="s">
        <v>116</v>
      </c>
      <c r="P82" s="118" t="e">
        <f>P81/VLOOKUP($C81,#REF!,7,0)</f>
        <v>#REF!</v>
      </c>
      <c r="Q82" s="277"/>
      <c r="R82" s="1219"/>
      <c r="S82" s="37"/>
      <c r="T82" s="175" t="s">
        <v>116</v>
      </c>
      <c r="U82" s="257" t="e">
        <f>U81/VLOOKUP($C81,#REF!,7,0)</f>
        <v>#REF!</v>
      </c>
      <c r="V82" s="1219"/>
      <c r="W82" s="781"/>
      <c r="X82" s="781"/>
      <c r="Y82" s="1185"/>
      <c r="Z82" s="37"/>
      <c r="AA82" s="1226"/>
      <c r="AD82" s="33" t="str">
        <f>C81&amp;F82</f>
        <v>The NetherlandsUSD bn</v>
      </c>
    </row>
    <row r="83" spans="1:30" ht="105" customHeight="1">
      <c r="A83" s="1268"/>
      <c r="B83" s="1268"/>
      <c r="C83" s="1257"/>
      <c r="D83" s="1254"/>
      <c r="E83" s="12"/>
      <c r="F83" s="53" t="s">
        <v>117</v>
      </c>
      <c r="G83" s="252" t="e">
        <f>(G81/VLOOKUP(C81,#REF!,4,0))*100</f>
        <v>#REF!</v>
      </c>
      <c r="H83" s="252" t="e">
        <f>(H81/VLOOKUP($C81,#REF!,4,0))*100</f>
        <v>#REF!</v>
      </c>
      <c r="I83" s="1204"/>
      <c r="J83" s="252" t="e">
        <f>J81/VLOOKUP($C81,#REF!,4,0)*100</f>
        <v>#REF!</v>
      </c>
      <c r="K83" s="1186"/>
      <c r="L83" s="252" t="e">
        <f>L81/VLOOKUP($C81,#REF!,4,0)*100</f>
        <v>#REF!</v>
      </c>
      <c r="M83" s="1197"/>
      <c r="N83" s="12"/>
      <c r="O83" s="53" t="s">
        <v>117</v>
      </c>
      <c r="P83" s="17" t="e">
        <f>P81/VLOOKUP($C81,#REF!,4,0)*100</f>
        <v>#REF!</v>
      </c>
      <c r="Q83" s="267"/>
      <c r="R83" s="1186"/>
      <c r="S83" s="12"/>
      <c r="T83" s="53" t="s">
        <v>117</v>
      </c>
      <c r="U83" s="808" t="e">
        <f>U81/VLOOKUP($C81,#REF!,4,0)*100</f>
        <v>#REF!</v>
      </c>
      <c r="V83" s="1186"/>
      <c r="W83" s="767"/>
      <c r="X83" s="767"/>
      <c r="Y83" s="1186"/>
      <c r="Z83" s="52"/>
      <c r="AA83" s="1227"/>
      <c r="AD83" s="33" t="str">
        <f>C81&amp;F83</f>
        <v>The Netherlands% GDP</v>
      </c>
    </row>
    <row r="84" spans="1:30" ht="130" customHeight="1">
      <c r="A84" s="1268">
        <v>0</v>
      </c>
      <c r="B84" s="1268" t="s">
        <v>858</v>
      </c>
      <c r="C84" s="1256" t="s">
        <v>553</v>
      </c>
      <c r="D84" s="1253" t="s">
        <v>571</v>
      </c>
      <c r="E84" s="14"/>
      <c r="F84" s="38" t="s">
        <v>115</v>
      </c>
      <c r="G84" s="251">
        <v>62.1</v>
      </c>
      <c r="H84" s="769">
        <v>0.8</v>
      </c>
      <c r="I84" s="1184" t="s">
        <v>601</v>
      </c>
      <c r="J84" s="121">
        <f>G84-H84</f>
        <v>61.300000000000004</v>
      </c>
      <c r="K84" s="1258" t="s">
        <v>1135</v>
      </c>
      <c r="L84" s="789"/>
      <c r="M84" s="789"/>
      <c r="N84" s="35"/>
      <c r="O84" s="175" t="s">
        <v>115</v>
      </c>
      <c r="P84" s="177">
        <f t="shared" ref="P84:P110" si="6">Q84+U84+W84</f>
        <v>12.35</v>
      </c>
      <c r="Q84" s="515">
        <v>6.1</v>
      </c>
      <c r="R84" s="1184" t="s">
        <v>735</v>
      </c>
      <c r="S84" s="35"/>
      <c r="T84" s="175" t="s">
        <v>115</v>
      </c>
      <c r="U84" s="807">
        <v>6.25</v>
      </c>
      <c r="V84" s="1184" t="s">
        <v>565</v>
      </c>
      <c r="W84" s="766"/>
      <c r="X84" s="1241"/>
      <c r="Y84" s="766"/>
      <c r="AA84" s="787"/>
      <c r="AD84" s="33" t="str">
        <f>C84&amp;F84</f>
        <v>New ZealandLC bn</v>
      </c>
    </row>
    <row r="85" spans="1:30" ht="131.5" customHeight="1">
      <c r="A85" s="1268"/>
      <c r="B85" s="1268"/>
      <c r="C85" s="1256"/>
      <c r="D85" s="1253"/>
      <c r="E85" s="37"/>
      <c r="F85" s="175" t="s">
        <v>116</v>
      </c>
      <c r="G85" s="251" t="e">
        <f>G84/VLOOKUP($C84,#REF!,7,0)</f>
        <v>#REF!</v>
      </c>
      <c r="H85" s="258" t="e">
        <f>H84/VLOOKUP($C84,#REF!,7,0)</f>
        <v>#REF!</v>
      </c>
      <c r="I85" s="1308"/>
      <c r="J85" s="251" t="e">
        <f>J84/VLOOKUP($C84,#REF!,7,0)</f>
        <v>#REF!</v>
      </c>
      <c r="K85" s="1238"/>
      <c r="L85" s="789"/>
      <c r="M85" s="789"/>
      <c r="N85" s="35"/>
      <c r="O85" s="175" t="s">
        <v>116</v>
      </c>
      <c r="P85" s="785" t="e">
        <f t="shared" si="6"/>
        <v>#REF!</v>
      </c>
      <c r="Q85" s="258" t="e">
        <f>Q84/VLOOKUP($C84,#REF!,7,0)</f>
        <v>#REF!</v>
      </c>
      <c r="R85" s="1219"/>
      <c r="S85" s="35"/>
      <c r="T85" s="175" t="s">
        <v>116</v>
      </c>
      <c r="U85" s="258" t="e">
        <f>U84/VLOOKUP($C84,#REF!,7,0)</f>
        <v>#REF!</v>
      </c>
      <c r="V85" s="1219"/>
      <c r="W85" s="766"/>
      <c r="X85" s="1242"/>
      <c r="Y85" s="766"/>
      <c r="AA85" s="787"/>
      <c r="AD85" s="33" t="str">
        <f>C84&amp;F85</f>
        <v>New ZealandUSD bn</v>
      </c>
    </row>
    <row r="86" spans="1:30" ht="111.65" customHeight="1">
      <c r="A86" s="1268"/>
      <c r="B86" s="1268"/>
      <c r="C86" s="1257"/>
      <c r="D86" s="1254"/>
      <c r="E86" s="12"/>
      <c r="F86" s="53" t="s">
        <v>117</v>
      </c>
      <c r="G86" s="252" t="e">
        <f>(G84/VLOOKUP($C84,#REF!,4,0))*100</f>
        <v>#REF!</v>
      </c>
      <c r="H86" s="252" t="e">
        <f>(H84/VLOOKUP($C84,#REF!,4,0))*100</f>
        <v>#REF!</v>
      </c>
      <c r="I86" s="1204"/>
      <c r="J86" s="252" t="e">
        <f>(J84/VLOOKUP($C84,#REF!,4,0))*100</f>
        <v>#REF!</v>
      </c>
      <c r="K86" s="1192"/>
      <c r="L86" s="789"/>
      <c r="M86" s="789"/>
      <c r="N86" s="35"/>
      <c r="O86" s="53" t="s">
        <v>117</v>
      </c>
      <c r="P86" s="17" t="e">
        <f t="shared" si="6"/>
        <v>#REF!</v>
      </c>
      <c r="Q86" s="252" t="e">
        <f>(Q84/VLOOKUP($C84,#REF!,4,0))*100</f>
        <v>#REF!</v>
      </c>
      <c r="R86" s="1186"/>
      <c r="S86" s="35"/>
      <c r="T86" s="53" t="s">
        <v>117</v>
      </c>
      <c r="U86" s="252" t="e">
        <f>(U84/VLOOKUP($C84,#REF!,4,0))*100</f>
        <v>#REF!</v>
      </c>
      <c r="V86" s="1186"/>
      <c r="W86" s="766"/>
      <c r="X86" s="1243"/>
      <c r="Y86" s="766"/>
      <c r="AA86" s="787"/>
      <c r="AD86" s="33" t="str">
        <f>C84&amp;F86</f>
        <v>New Zealand% GDP</v>
      </c>
    </row>
    <row r="87" spans="1:30" s="37" customFormat="1" ht="93" customHeight="1">
      <c r="A87" s="1268">
        <v>0</v>
      </c>
      <c r="B87" s="1268" t="s">
        <v>858</v>
      </c>
      <c r="C87" s="1256" t="s">
        <v>36</v>
      </c>
      <c r="D87" s="1266" t="s">
        <v>571</v>
      </c>
      <c r="E87" s="14"/>
      <c r="F87" s="38" t="s">
        <v>115</v>
      </c>
      <c r="G87" s="255">
        <v>162</v>
      </c>
      <c r="H87" s="776" t="s">
        <v>84</v>
      </c>
      <c r="I87" s="1184" t="s">
        <v>786</v>
      </c>
      <c r="J87" s="776" t="s">
        <v>84</v>
      </c>
      <c r="K87" s="1184" t="s">
        <v>787</v>
      </c>
      <c r="L87" s="776" t="s">
        <v>84</v>
      </c>
      <c r="M87" s="1184" t="s">
        <v>626</v>
      </c>
      <c r="N87" s="14"/>
      <c r="O87" s="175" t="s">
        <v>115</v>
      </c>
      <c r="P87" s="177">
        <f t="shared" si="6"/>
        <v>179.6</v>
      </c>
      <c r="Q87" s="274">
        <v>50</v>
      </c>
      <c r="R87" s="1184" t="s">
        <v>336</v>
      </c>
      <c r="S87" s="14"/>
      <c r="T87" s="175" t="s">
        <v>115</v>
      </c>
      <c r="U87" s="255">
        <v>129.6</v>
      </c>
      <c r="V87" s="1184" t="s">
        <v>581</v>
      </c>
      <c r="W87" s="765"/>
      <c r="X87" s="765"/>
      <c r="Y87" s="1184" t="s">
        <v>127</v>
      </c>
      <c r="Z87" s="14"/>
      <c r="AA87" s="1225" t="s">
        <v>48</v>
      </c>
      <c r="AD87" s="33" t="str">
        <f>C87&amp;F87</f>
        <v>NorwayLC bn</v>
      </c>
    </row>
    <row r="88" spans="1:30" s="37" customFormat="1" ht="70" customHeight="1">
      <c r="A88" s="1268"/>
      <c r="B88" s="1268"/>
      <c r="C88" s="1256"/>
      <c r="D88" s="1266"/>
      <c r="F88" s="175" t="s">
        <v>116</v>
      </c>
      <c r="G88" s="251" t="e">
        <f>G87/VLOOKUP(C87,#REF!,7,0)</f>
        <v>#REF!</v>
      </c>
      <c r="H88" s="783"/>
      <c r="I88" s="1185"/>
      <c r="J88" s="777"/>
      <c r="K88" s="1219"/>
      <c r="L88" s="766"/>
      <c r="M88" s="1185"/>
      <c r="O88" s="175" t="s">
        <v>116</v>
      </c>
      <c r="P88" s="118" t="e">
        <f t="shared" si="6"/>
        <v>#REF!</v>
      </c>
      <c r="Q88" s="279" t="e">
        <f>Q87/VLOOKUP(C87,#REF!,7,0)</f>
        <v>#REF!</v>
      </c>
      <c r="R88" s="1219"/>
      <c r="T88" s="175" t="s">
        <v>116</v>
      </c>
      <c r="U88" s="257" t="e">
        <f>U87/VLOOKUP(C87,#REF!,7,0)</f>
        <v>#REF!</v>
      </c>
      <c r="V88" s="1219"/>
      <c r="W88" s="781"/>
      <c r="X88" s="781"/>
      <c r="Y88" s="1185"/>
      <c r="AA88" s="1226"/>
      <c r="AD88" s="33" t="str">
        <f>C87&amp;F88</f>
        <v>NorwayUSD bn</v>
      </c>
    </row>
    <row r="89" spans="1:30" ht="70" customHeight="1">
      <c r="A89" s="1268"/>
      <c r="B89" s="1268"/>
      <c r="C89" s="1257"/>
      <c r="D89" s="1261"/>
      <c r="E89" s="12"/>
      <c r="F89" s="53" t="s">
        <v>117</v>
      </c>
      <c r="G89" s="252" t="e">
        <f>((G87/#REF!))*100</f>
        <v>#REF!</v>
      </c>
      <c r="H89" s="97"/>
      <c r="I89" s="1186"/>
      <c r="J89" s="790"/>
      <c r="K89" s="1186"/>
      <c r="L89" s="767"/>
      <c r="M89" s="1186"/>
      <c r="N89" s="12"/>
      <c r="O89" s="53" t="s">
        <v>117</v>
      </c>
      <c r="P89" s="104" t="e">
        <f t="shared" si="6"/>
        <v>#REF!</v>
      </c>
      <c r="Q89" s="273" t="e">
        <f>((Q87/#REF!))*100</f>
        <v>#REF!</v>
      </c>
      <c r="R89" s="1186"/>
      <c r="S89" s="12"/>
      <c r="T89" s="53" t="s">
        <v>117</v>
      </c>
      <c r="U89" s="252" t="e">
        <f>((U87/#REF!))*100</f>
        <v>#REF!</v>
      </c>
      <c r="V89" s="1186"/>
      <c r="W89" s="767"/>
      <c r="X89" s="767"/>
      <c r="Y89" s="1186"/>
      <c r="Z89" s="52"/>
      <c r="AA89" s="1227"/>
      <c r="AD89" s="33" t="str">
        <f>C87&amp;F89</f>
        <v>Norway% GDP</v>
      </c>
    </row>
    <row r="90" spans="1:30" s="37" customFormat="1" ht="75" customHeight="1">
      <c r="A90" s="1268">
        <v>0</v>
      </c>
      <c r="B90" s="1268" t="s">
        <v>858</v>
      </c>
      <c r="C90" s="1256" t="s">
        <v>31</v>
      </c>
      <c r="D90" s="1266" t="s">
        <v>571</v>
      </c>
      <c r="E90" s="511"/>
      <c r="F90" s="505" t="s">
        <v>115</v>
      </c>
      <c r="G90" s="255">
        <f>H90+J90</f>
        <v>72.8</v>
      </c>
      <c r="H90" s="778">
        <v>0.8</v>
      </c>
      <c r="I90" s="1193" t="s">
        <v>627</v>
      </c>
      <c r="J90" s="255">
        <v>72</v>
      </c>
      <c r="K90" s="1184" t="s">
        <v>863</v>
      </c>
      <c r="L90" s="765"/>
      <c r="M90" s="765"/>
      <c r="N90" s="14"/>
      <c r="O90" s="175" t="s">
        <v>115</v>
      </c>
      <c r="P90" s="177">
        <f t="shared" si="6"/>
        <v>20</v>
      </c>
      <c r="Q90" s="274">
        <v>20</v>
      </c>
      <c r="R90" s="1184" t="s">
        <v>724</v>
      </c>
      <c r="S90" s="14"/>
      <c r="T90" s="175" t="s">
        <v>115</v>
      </c>
      <c r="U90" s="806"/>
      <c r="V90" s="1184"/>
      <c r="W90" s="765"/>
      <c r="X90" s="765"/>
      <c r="Y90" s="765"/>
      <c r="Z90" s="14"/>
      <c r="AA90" s="765"/>
      <c r="AD90" s="33" t="str">
        <f>C90&amp;F90</f>
        <v>SingaporeLC bn</v>
      </c>
    </row>
    <row r="91" spans="1:30" s="796" customFormat="1" ht="75" customHeight="1">
      <c r="A91" s="1268"/>
      <c r="B91" s="1268"/>
      <c r="C91" s="1256"/>
      <c r="D91" s="1266"/>
      <c r="E91" s="512"/>
      <c r="F91" s="506" t="s">
        <v>116</v>
      </c>
      <c r="G91" s="251" t="e">
        <f>G90/VLOOKUP(C90,#REF!,7,0)</f>
        <v>#REF!</v>
      </c>
      <c r="H91" s="258" t="e">
        <f>H90/VLOOKUP($C90,#REF!,7,0)</f>
        <v>#REF!</v>
      </c>
      <c r="I91" s="1196"/>
      <c r="J91" s="251" t="e">
        <f>J90/VLOOKUP($C90,#REF!,7,0)</f>
        <v>#REF!</v>
      </c>
      <c r="K91" s="1219"/>
      <c r="L91" s="781"/>
      <c r="M91" s="781"/>
      <c r="N91" s="37"/>
      <c r="O91" s="175" t="s">
        <v>116</v>
      </c>
      <c r="P91" s="118" t="e">
        <f t="shared" si="6"/>
        <v>#REF!</v>
      </c>
      <c r="Q91" s="266" t="e">
        <f>Q90/VLOOKUP(C90,#REF!,7,0)</f>
        <v>#REF!</v>
      </c>
      <c r="R91" s="1219"/>
      <c r="S91" s="37"/>
      <c r="T91" s="175" t="s">
        <v>116</v>
      </c>
      <c r="U91" s="807"/>
      <c r="V91" s="1185"/>
      <c r="W91" s="766"/>
      <c r="X91" s="766"/>
      <c r="Y91" s="766"/>
      <c r="Z91" s="37"/>
      <c r="AA91" s="766"/>
      <c r="AD91" s="33" t="str">
        <f>C90&amp;F91</f>
        <v>SingaporeUSD bn</v>
      </c>
    </row>
    <row r="92" spans="1:30" ht="75" customHeight="1">
      <c r="A92" s="1268"/>
      <c r="B92" s="1268"/>
      <c r="C92" s="1257"/>
      <c r="D92" s="1261"/>
      <c r="E92" s="509"/>
      <c r="F92" s="506" t="s">
        <v>117</v>
      </c>
      <c r="G92" s="258" t="e">
        <f>(G90/VLOOKUP(C90,#REF!,4,0))*100</f>
        <v>#REF!</v>
      </c>
      <c r="H92" s="252" t="e">
        <f>(H90/VLOOKUP($C90,#REF!,4,0))*100</f>
        <v>#REF!</v>
      </c>
      <c r="I92" s="1197"/>
      <c r="J92" s="252" t="e">
        <f>J90/VLOOKUP($C90,#REF!,4,0)*100</f>
        <v>#REF!</v>
      </c>
      <c r="K92" s="1186"/>
      <c r="L92" s="766"/>
      <c r="M92" s="766"/>
      <c r="N92" s="35"/>
      <c r="O92" s="175" t="s">
        <v>117</v>
      </c>
      <c r="P92" s="17" t="e">
        <f t="shared" si="6"/>
        <v>#REF!</v>
      </c>
      <c r="Q92" s="269" t="e">
        <f>(Q90/VLOOKUP(C90,#REF!,4,0))*100</f>
        <v>#REF!</v>
      </c>
      <c r="R92" s="1186"/>
      <c r="S92" s="35"/>
      <c r="T92" s="175" t="s">
        <v>117</v>
      </c>
      <c r="U92" s="258"/>
      <c r="V92" s="1186"/>
      <c r="W92" s="766"/>
      <c r="X92" s="766"/>
      <c r="Y92" s="766"/>
      <c r="AA92" s="787"/>
      <c r="AD92" s="33" t="str">
        <f>C90&amp;F92</f>
        <v>Singapore% GDP</v>
      </c>
    </row>
    <row r="93" spans="1:30" s="15" customFormat="1" ht="70" customHeight="1">
      <c r="A93" s="1268">
        <v>0</v>
      </c>
      <c r="B93" s="1268" t="s">
        <v>858</v>
      </c>
      <c r="C93" s="1256" t="s">
        <v>21</v>
      </c>
      <c r="D93" s="1252" t="s">
        <v>571</v>
      </c>
      <c r="F93" s="38" t="s">
        <v>115</v>
      </c>
      <c r="G93" s="255">
        <v>258.7</v>
      </c>
      <c r="H93" s="776">
        <v>8.1999999999999993</v>
      </c>
      <c r="I93" s="1220" t="s">
        <v>1144</v>
      </c>
      <c r="J93" s="102">
        <f>217.5+33</f>
        <v>250.5</v>
      </c>
      <c r="K93" s="1184" t="s">
        <v>1145</v>
      </c>
      <c r="L93" s="776">
        <v>315</v>
      </c>
      <c r="M93" s="1270" t="s">
        <v>1146</v>
      </c>
      <c r="O93" s="38" t="s">
        <v>115</v>
      </c>
      <c r="P93" s="177">
        <f t="shared" si="6"/>
        <v>238.3</v>
      </c>
      <c r="Q93" s="268">
        <v>8.3000000000000007</v>
      </c>
      <c r="R93" s="1184" t="s">
        <v>1147</v>
      </c>
      <c r="T93" s="38" t="s">
        <v>115</v>
      </c>
      <c r="U93" s="253">
        <v>230</v>
      </c>
      <c r="V93" s="1184" t="s">
        <v>659</v>
      </c>
      <c r="W93" s="765"/>
      <c r="X93" s="765"/>
      <c r="Y93" s="22"/>
      <c r="AA93" s="765"/>
      <c r="AD93" s="33" t="str">
        <f>C93&amp;F93</f>
        <v>SwedenLC bn</v>
      </c>
    </row>
    <row r="94" spans="1:30" s="37" customFormat="1" ht="70" customHeight="1">
      <c r="A94" s="1268"/>
      <c r="B94" s="1268"/>
      <c r="C94" s="1256"/>
      <c r="D94" s="1253"/>
      <c r="E94" s="55"/>
      <c r="F94" s="175" t="s">
        <v>116</v>
      </c>
      <c r="G94" s="251" t="e">
        <f>G93/VLOOKUP($C93,#REF!,7,0)</f>
        <v>#REF!</v>
      </c>
      <c r="H94" s="258" t="e">
        <f>H93/VLOOKUP($C93,#REF!,7,0)</f>
        <v>#REF!</v>
      </c>
      <c r="I94" s="1221"/>
      <c r="J94" s="251" t="e">
        <f>J93/VLOOKUP($C93,#REF!,7,0)</f>
        <v>#REF!</v>
      </c>
      <c r="K94" s="1219"/>
      <c r="L94" s="118" t="e">
        <f>L93/VLOOKUP(C93,#REF!,7,0)</f>
        <v>#REF!</v>
      </c>
      <c r="M94" s="1219"/>
      <c r="N94" s="55"/>
      <c r="O94" s="175" t="s">
        <v>116</v>
      </c>
      <c r="P94" s="118" t="e">
        <f t="shared" si="6"/>
        <v>#REF!</v>
      </c>
      <c r="Q94" s="251"/>
      <c r="R94" s="1219"/>
      <c r="S94" s="55"/>
      <c r="T94" s="175" t="s">
        <v>116</v>
      </c>
      <c r="U94" s="251" t="e">
        <f>U93/VLOOKUP($C93,#REF!,7,0)</f>
        <v>#REF!</v>
      </c>
      <c r="V94" s="1219"/>
      <c r="W94" s="766"/>
      <c r="X94" s="766"/>
      <c r="Y94" s="58"/>
      <c r="Z94" s="55"/>
      <c r="AA94" s="766"/>
      <c r="AD94" s="33" t="str">
        <f>C93&amp;F94</f>
        <v>SwedenUSD bn</v>
      </c>
    </row>
    <row r="95" spans="1:30" ht="78" customHeight="1">
      <c r="A95" s="1268"/>
      <c r="B95" s="1268"/>
      <c r="C95" s="1257"/>
      <c r="D95" s="1254"/>
      <c r="E95" s="12"/>
      <c r="F95" s="53" t="s">
        <v>117</v>
      </c>
      <c r="G95" s="252" t="e">
        <f>(G93/VLOOKUP($C93,#REF!,4,0))*100</f>
        <v>#REF!</v>
      </c>
      <c r="H95" s="252" t="e">
        <f>(H93/VLOOKUP($C93,#REF!,4,0))*100</f>
        <v>#REF!</v>
      </c>
      <c r="I95" s="1222"/>
      <c r="J95" s="252" t="e">
        <f>(J93/VLOOKUP($C93,#REF!,4,0))*100</f>
        <v>#REF!</v>
      </c>
      <c r="K95" s="1186"/>
      <c r="L95" s="790" t="e">
        <f>(L93/VLOOKUP(C93,#REF!,4,0))*100</f>
        <v>#REF!</v>
      </c>
      <c r="M95" s="1186"/>
      <c r="N95" s="12"/>
      <c r="O95" s="53" t="s">
        <v>117</v>
      </c>
      <c r="P95" s="17" t="e">
        <f t="shared" si="6"/>
        <v>#REF!</v>
      </c>
      <c r="Q95" s="252"/>
      <c r="R95" s="1186"/>
      <c r="S95" s="12"/>
      <c r="T95" s="53" t="s">
        <v>117</v>
      </c>
      <c r="U95" s="252" t="e">
        <f>(U93/VLOOKUP($C93,#REF!,4,0))*100</f>
        <v>#REF!</v>
      </c>
      <c r="V95" s="1186"/>
      <c r="W95" s="767"/>
      <c r="X95" s="767"/>
      <c r="Y95" s="767"/>
      <c r="Z95" s="52"/>
      <c r="AA95" s="788"/>
      <c r="AD95" s="33" t="str">
        <f>C93&amp;F95</f>
        <v>Sweden% GDP</v>
      </c>
    </row>
    <row r="96" spans="1:30" ht="54.65" customHeight="1">
      <c r="A96" s="1268">
        <v>0</v>
      </c>
      <c r="B96" s="1268" t="s">
        <v>858</v>
      </c>
      <c r="C96" s="1256" t="s">
        <v>558</v>
      </c>
      <c r="D96" s="1252" t="s">
        <v>571</v>
      </c>
      <c r="E96" s="15"/>
      <c r="F96" s="38" t="s">
        <v>115</v>
      </c>
      <c r="G96" s="251">
        <f>H96+J96</f>
        <v>31.6</v>
      </c>
      <c r="H96" s="769">
        <v>2.6</v>
      </c>
      <c r="I96" s="1193" t="s">
        <v>1148</v>
      </c>
      <c r="J96" s="118">
        <v>29</v>
      </c>
      <c r="K96" s="1193" t="s">
        <v>1150</v>
      </c>
      <c r="L96" s="410"/>
      <c r="M96" s="1184"/>
      <c r="N96" s="35"/>
      <c r="O96" s="38" t="s">
        <v>115</v>
      </c>
      <c r="P96" s="177">
        <f t="shared" si="6"/>
        <v>41.949999999999996</v>
      </c>
      <c r="Q96" s="269">
        <v>0.55000000000000004</v>
      </c>
      <c r="R96" s="1202" t="s">
        <v>1149</v>
      </c>
      <c r="S96" s="35"/>
      <c r="T96" s="38" t="s">
        <v>115</v>
      </c>
      <c r="U96" s="251">
        <v>41.4</v>
      </c>
      <c r="V96" s="1202" t="s">
        <v>712</v>
      </c>
      <c r="W96" s="766"/>
      <c r="X96" s="766"/>
      <c r="Y96" s="766"/>
      <c r="AA96" s="787"/>
      <c r="AD96" s="33" t="str">
        <f>C96&amp;F96</f>
        <v>SwitzerlandLC bn</v>
      </c>
    </row>
    <row r="97" spans="1:30" ht="38.5" customHeight="1">
      <c r="A97" s="1268"/>
      <c r="B97" s="1268"/>
      <c r="C97" s="1256"/>
      <c r="D97" s="1253"/>
      <c r="F97" s="175" t="s">
        <v>116</v>
      </c>
      <c r="G97" s="251" t="e">
        <f>G96/VLOOKUP($C96,#REF!,7,0)</f>
        <v>#REF!</v>
      </c>
      <c r="H97" s="258" t="e">
        <f>H96/VLOOKUP($C96,#REF!,7,0)</f>
        <v>#REF!</v>
      </c>
      <c r="I97" s="1219"/>
      <c r="J97" s="251" t="e">
        <f>J96/VLOOKUP($C96,#REF!,7,0)</f>
        <v>#REF!</v>
      </c>
      <c r="K97" s="1219"/>
      <c r="L97" s="251"/>
      <c r="M97" s="1185"/>
      <c r="N97" s="35"/>
      <c r="O97" s="175" t="s">
        <v>116</v>
      </c>
      <c r="P97" s="118" t="e">
        <f t="shared" si="6"/>
        <v>#REF!</v>
      </c>
      <c r="Q97" s="258" t="e">
        <f>Q96/VLOOKUP($C96,#REF!,7,0)</f>
        <v>#REF!</v>
      </c>
      <c r="R97" s="1185"/>
      <c r="S97" s="35"/>
      <c r="T97" s="175" t="s">
        <v>116</v>
      </c>
      <c r="U97" s="251" t="e">
        <f>U96/VLOOKUP($C96,#REF!,7,0)</f>
        <v>#REF!</v>
      </c>
      <c r="V97" s="1203"/>
      <c r="W97" s="766"/>
      <c r="X97" s="766"/>
      <c r="Y97" s="766"/>
      <c r="AA97" s="787"/>
      <c r="AD97" s="33" t="str">
        <f>C96&amp;F97</f>
        <v>SwitzerlandUSD bn</v>
      </c>
    </row>
    <row r="98" spans="1:30" ht="47.15" customHeight="1">
      <c r="A98" s="1268"/>
      <c r="B98" s="1268"/>
      <c r="C98" s="1257"/>
      <c r="D98" s="1254"/>
      <c r="E98" s="12"/>
      <c r="F98" s="53" t="s">
        <v>117</v>
      </c>
      <c r="G98" s="252" t="e">
        <f>(G96/VLOOKUP($C96,#REF!,4,0))*100</f>
        <v>#REF!</v>
      </c>
      <c r="H98" s="252" t="e">
        <f>(H96/VLOOKUP($C96,#REF!,4,0))*100</f>
        <v>#REF!</v>
      </c>
      <c r="I98" s="1186"/>
      <c r="J98" s="252" t="e">
        <f>(J96/VLOOKUP($C96,#REF!,4,0))*100</f>
        <v>#REF!</v>
      </c>
      <c r="K98" s="1186"/>
      <c r="L98" s="252"/>
      <c r="M98" s="1186"/>
      <c r="N98" s="12"/>
      <c r="O98" s="53" t="s">
        <v>117</v>
      </c>
      <c r="P98" s="17" t="e">
        <f t="shared" si="6"/>
        <v>#REF!</v>
      </c>
      <c r="Q98" s="252" t="e">
        <f>(Q96/VLOOKUP($C96,#REF!,4,0))*100</f>
        <v>#REF!</v>
      </c>
      <c r="R98" s="1186"/>
      <c r="S98" s="12"/>
      <c r="T98" s="53" t="s">
        <v>117</v>
      </c>
      <c r="U98" s="252" t="e">
        <f>(U96/VLOOKUP($C96,#REF!,4,0))*100</f>
        <v>#REF!</v>
      </c>
      <c r="V98" s="1204"/>
      <c r="W98" s="767"/>
      <c r="X98" s="767"/>
      <c r="Y98" s="766"/>
      <c r="AA98" s="787"/>
      <c r="AD98" s="33" t="str">
        <f>C96&amp;F98</f>
        <v>Switzerland% GDP</v>
      </c>
    </row>
    <row r="99" spans="1:30" s="37" customFormat="1" ht="102" customHeight="1">
      <c r="A99" s="1268">
        <v>0</v>
      </c>
      <c r="B99" s="1268" t="s">
        <v>861</v>
      </c>
      <c r="C99" s="1256" t="s">
        <v>41</v>
      </c>
      <c r="D99" s="1252" t="s">
        <v>570</v>
      </c>
      <c r="F99" s="175" t="s">
        <v>115</v>
      </c>
      <c r="G99" s="257">
        <v>19</v>
      </c>
      <c r="H99" s="776">
        <v>2.5</v>
      </c>
      <c r="I99" s="1220" t="s">
        <v>631</v>
      </c>
      <c r="J99" s="118">
        <v>16.5</v>
      </c>
      <c r="K99" s="1190" t="s">
        <v>1136</v>
      </c>
      <c r="L99" s="766"/>
      <c r="M99" s="1184" t="s">
        <v>765</v>
      </c>
      <c r="O99" s="175" t="s">
        <v>115</v>
      </c>
      <c r="P99" s="496">
        <f t="shared" si="6"/>
        <v>26</v>
      </c>
      <c r="Q99" s="277"/>
      <c r="R99" s="766"/>
      <c r="T99" s="175" t="s">
        <v>115</v>
      </c>
      <c r="U99" s="257">
        <v>26</v>
      </c>
      <c r="V99" s="1193" t="s">
        <v>1213</v>
      </c>
      <c r="W99" s="766"/>
      <c r="X99" s="766"/>
      <c r="Y99" s="766"/>
      <c r="AA99" s="766"/>
      <c r="AD99" s="33" t="str">
        <f>C99&amp;F99</f>
        <v>AlbaniaLC bn</v>
      </c>
    </row>
    <row r="100" spans="1:30" ht="90" customHeight="1">
      <c r="A100" s="1268"/>
      <c r="B100" s="1268"/>
      <c r="C100" s="1256"/>
      <c r="D100" s="1253"/>
      <c r="E100" s="37"/>
      <c r="F100" s="175" t="s">
        <v>116</v>
      </c>
      <c r="G100" s="258" t="e">
        <f>G99/VLOOKUP(C99,#REF!,7,0)</f>
        <v>#REF!</v>
      </c>
      <c r="H100" s="258" t="e">
        <f>H99/VLOOKUP($C99,#REF!,7,0)</f>
        <v>#REF!</v>
      </c>
      <c r="I100" s="1221"/>
      <c r="J100" s="258" t="e">
        <f>J99/VLOOKUP($C99,#REF!,7,0)</f>
        <v>#REF!</v>
      </c>
      <c r="K100" s="1238"/>
      <c r="L100" s="766"/>
      <c r="M100" s="1185"/>
      <c r="N100" s="37"/>
      <c r="O100" s="175" t="s">
        <v>116</v>
      </c>
      <c r="P100" s="412" t="e">
        <f t="shared" si="6"/>
        <v>#REF!</v>
      </c>
      <c r="Q100" s="277"/>
      <c r="R100" s="766"/>
      <c r="S100" s="37"/>
      <c r="T100" s="175" t="s">
        <v>116</v>
      </c>
      <c r="U100" s="258" t="e">
        <f>U99/VLOOKUP(C99,#REF!,7,0)</f>
        <v>#REF!</v>
      </c>
      <c r="V100" s="1196"/>
      <c r="W100" s="766"/>
      <c r="X100" s="766"/>
      <c r="Y100" s="766"/>
      <c r="Z100" s="37"/>
      <c r="AA100" s="766"/>
      <c r="AD100" s="33" t="str">
        <f>C99&amp;F100</f>
        <v>AlbaniaUSD bn</v>
      </c>
    </row>
    <row r="101" spans="1:30" ht="90" customHeight="1">
      <c r="A101" s="1268"/>
      <c r="B101" s="1268"/>
      <c r="C101" s="1257"/>
      <c r="D101" s="1254"/>
      <c r="E101" s="12"/>
      <c r="F101" s="53" t="s">
        <v>117</v>
      </c>
      <c r="G101" s="252" t="e">
        <f>(G99/VLOOKUP(C99,#REF!,4,0))*100</f>
        <v>#REF!</v>
      </c>
      <c r="H101" s="252" t="e">
        <f>(H99/VLOOKUP($C99,#REF!,4,0))*100</f>
        <v>#REF!</v>
      </c>
      <c r="I101" s="1222"/>
      <c r="J101" s="252" t="e">
        <f>J99/VLOOKUP($C99,#REF!,4,0)*100</f>
        <v>#REF!</v>
      </c>
      <c r="K101" s="1192"/>
      <c r="L101" s="767"/>
      <c r="M101" s="1186"/>
      <c r="N101" s="12"/>
      <c r="O101" s="53" t="s">
        <v>117</v>
      </c>
      <c r="P101" s="499" t="e">
        <f t="shared" si="6"/>
        <v>#REF!</v>
      </c>
      <c r="Q101" s="267"/>
      <c r="R101" s="804"/>
      <c r="S101" s="12"/>
      <c r="T101" s="53" t="s">
        <v>117</v>
      </c>
      <c r="U101" s="252" t="e">
        <f>(U99/VLOOKUP(C99,#REF!,4,0))*100</f>
        <v>#REF!</v>
      </c>
      <c r="V101" s="1197"/>
      <c r="W101" s="767"/>
      <c r="X101" s="767"/>
      <c r="Y101" s="767"/>
      <c r="Z101" s="52"/>
      <c r="AA101" s="788"/>
      <c r="AD101" s="33" t="str">
        <f>C99&amp;F101</f>
        <v>Albania% GDP</v>
      </c>
    </row>
    <row r="102" spans="1:30" ht="90" customHeight="1">
      <c r="A102" s="801"/>
      <c r="B102" s="801"/>
      <c r="C102" s="1255" t="s">
        <v>1039</v>
      </c>
      <c r="D102" s="1252" t="s">
        <v>570</v>
      </c>
      <c r="E102" s="37"/>
      <c r="F102" s="175" t="s">
        <v>115</v>
      </c>
      <c r="G102" s="807">
        <v>1.2</v>
      </c>
      <c r="H102" s="776">
        <v>1.2</v>
      </c>
      <c r="I102" s="1220" t="s">
        <v>1188</v>
      </c>
      <c r="J102" s="785">
        <v>1.2</v>
      </c>
      <c r="K102" s="1190" t="s">
        <v>1189</v>
      </c>
      <c r="L102" s="766"/>
      <c r="M102" s="1184"/>
      <c r="N102" s="37"/>
      <c r="O102" s="175" t="s">
        <v>115</v>
      </c>
      <c r="P102" s="498">
        <f t="shared" si="6"/>
        <v>0.9</v>
      </c>
      <c r="Q102" s="277"/>
      <c r="R102" s="766"/>
      <c r="S102" s="37"/>
      <c r="T102" s="175" t="s">
        <v>115</v>
      </c>
      <c r="U102" s="807">
        <v>0.9</v>
      </c>
      <c r="V102" s="1193" t="s">
        <v>1190</v>
      </c>
      <c r="W102" s="766"/>
      <c r="X102" s="766"/>
      <c r="Y102" s="766"/>
      <c r="AA102" s="787"/>
      <c r="AD102" s="33" t="str">
        <f>C102&amp;F102</f>
        <v>Bosnia and HerzegovinaLC bn</v>
      </c>
    </row>
    <row r="103" spans="1:30" ht="90" customHeight="1">
      <c r="A103" s="801">
        <v>0</v>
      </c>
      <c r="B103" s="801" t="s">
        <v>861</v>
      </c>
      <c r="C103" s="1256"/>
      <c r="D103" s="1253"/>
      <c r="E103" s="37"/>
      <c r="F103" s="175" t="s">
        <v>116</v>
      </c>
      <c r="G103" s="258" t="e">
        <f>G102/VLOOKUP(C102,#REF!,7,0)</f>
        <v>#REF!</v>
      </c>
      <c r="H103" s="258" t="e">
        <f>H102/VLOOKUP($C102,#REF!,7,0)</f>
        <v>#REF!</v>
      </c>
      <c r="I103" s="1221"/>
      <c r="J103" s="258" t="e">
        <f>J102/VLOOKUP($C102,#REF!,7,0)</f>
        <v>#REF!</v>
      </c>
      <c r="K103" s="1191"/>
      <c r="L103" s="766"/>
      <c r="M103" s="1185"/>
      <c r="N103" s="37"/>
      <c r="O103" s="175" t="s">
        <v>116</v>
      </c>
      <c r="P103" s="412" t="e">
        <f>Q103+U103+W103</f>
        <v>#REF!</v>
      </c>
      <c r="Q103" s="277"/>
      <c r="R103" s="766"/>
      <c r="S103" s="37"/>
      <c r="T103" s="175" t="s">
        <v>116</v>
      </c>
      <c r="U103" s="258" t="e">
        <f>U102/VLOOKUP(C102,#REF!,7,0)</f>
        <v>#REF!</v>
      </c>
      <c r="V103" s="1196"/>
      <c r="W103" s="766"/>
      <c r="X103" s="766"/>
      <c r="Y103" s="766"/>
      <c r="AA103" s="787"/>
      <c r="AD103" s="33" t="str">
        <f>C102&amp;F103</f>
        <v>Bosnia and HerzegovinaUSD bn</v>
      </c>
    </row>
    <row r="104" spans="1:30" ht="157" customHeight="1">
      <c r="A104" s="801"/>
      <c r="B104" s="801"/>
      <c r="C104" s="1257"/>
      <c r="D104" s="1254"/>
      <c r="E104" s="12"/>
      <c r="F104" s="53" t="s">
        <v>117</v>
      </c>
      <c r="G104" s="252" t="e">
        <f>(G102/VLOOKUP(C102,#REF!,4,0))*100</f>
        <v>#REF!</v>
      </c>
      <c r="H104" s="252" t="e">
        <f>(H102/VLOOKUP($C102,#REF!,4,0))*100</f>
        <v>#REF!</v>
      </c>
      <c r="I104" s="1222"/>
      <c r="J104" s="252" t="e">
        <f>J102/VLOOKUP($C102,#REF!,4,0)*100</f>
        <v>#REF!</v>
      </c>
      <c r="K104" s="1192"/>
      <c r="L104" s="767"/>
      <c r="M104" s="1186"/>
      <c r="N104" s="12"/>
      <c r="O104" s="53" t="s">
        <v>117</v>
      </c>
      <c r="P104" s="499" t="e">
        <f t="shared" ref="P104" si="7">Q104+U104+W104</f>
        <v>#REF!</v>
      </c>
      <c r="Q104" s="267"/>
      <c r="R104" s="804"/>
      <c r="S104" s="12"/>
      <c r="T104" s="53" t="s">
        <v>117</v>
      </c>
      <c r="U104" s="252" t="e">
        <f>(U102/VLOOKUP(C102,#REF!,4,0))*100</f>
        <v>#REF!</v>
      </c>
      <c r="V104" s="1197"/>
      <c r="W104" s="767"/>
      <c r="X104" s="767"/>
      <c r="Y104" s="766"/>
      <c r="AA104" s="787"/>
      <c r="AD104" s="33" t="str">
        <f>C102&amp;F104</f>
        <v>Bosnia and Herzegovina% GDP</v>
      </c>
    </row>
    <row r="105" spans="1:30" ht="130" customHeight="1">
      <c r="A105" s="1268">
        <v>0</v>
      </c>
      <c r="B105" s="1268" t="s">
        <v>861</v>
      </c>
      <c r="C105" s="1256" t="s">
        <v>27</v>
      </c>
      <c r="D105" s="1252" t="s">
        <v>570</v>
      </c>
      <c r="E105" s="15"/>
      <c r="F105" s="38" t="s">
        <v>115</v>
      </c>
      <c r="G105" s="806">
        <f>H105+J105</f>
        <v>3.1417999999999999</v>
      </c>
      <c r="H105" s="806">
        <v>0.77400000000000002</v>
      </c>
      <c r="I105" s="1193" t="s">
        <v>1154</v>
      </c>
      <c r="J105" s="286">
        <v>2.3677999999999999</v>
      </c>
      <c r="K105" s="1190" t="s">
        <v>1155</v>
      </c>
      <c r="L105" s="776">
        <v>0.6</v>
      </c>
      <c r="M105" s="1184" t="s">
        <v>633</v>
      </c>
      <c r="N105" s="15"/>
      <c r="O105" s="175" t="s">
        <v>115</v>
      </c>
      <c r="P105" s="784">
        <f>Q105+U105+W105</f>
        <v>4.6295999999999999</v>
      </c>
      <c r="Q105" s="268">
        <f>0.7+0.344+0.16+0.418</f>
        <v>1.6219999999999999</v>
      </c>
      <c r="R105" s="1184" t="s">
        <v>732</v>
      </c>
      <c r="S105" s="15"/>
      <c r="T105" s="175" t="s">
        <v>115</v>
      </c>
      <c r="U105" s="286"/>
      <c r="V105" s="1184"/>
      <c r="W105" s="286">
        <f>1.5+0.68+0.72+0.004+0.0036+0.1</f>
        <v>3.0076000000000005</v>
      </c>
      <c r="X105" s="1184" t="s">
        <v>733</v>
      </c>
      <c r="Y105" s="1184" t="s">
        <v>78</v>
      </c>
      <c r="Z105" s="15"/>
      <c r="AA105" s="765"/>
      <c r="AD105" s="33" t="str">
        <f>C105&amp;F105</f>
        <v>BulgariaLC bn</v>
      </c>
    </row>
    <row r="106" spans="1:30" s="35" customFormat="1" ht="130" customHeight="1">
      <c r="A106" s="1268"/>
      <c r="B106" s="1268"/>
      <c r="C106" s="1256"/>
      <c r="D106" s="1253"/>
      <c r="E106" s="55"/>
      <c r="F106" s="175" t="s">
        <v>116</v>
      </c>
      <c r="G106" s="258" t="e">
        <f>G105/VLOOKUP($C105,#REF!,7,0)</f>
        <v>#REF!</v>
      </c>
      <c r="H106" s="258" t="e">
        <f>H105/VLOOKUP($C105,#REF!,7,0)</f>
        <v>#REF!</v>
      </c>
      <c r="I106" s="1203"/>
      <c r="J106" s="258" t="e">
        <f>J105/VLOOKUP($C105,#REF!,7,0)</f>
        <v>#REF!</v>
      </c>
      <c r="K106" s="1238"/>
      <c r="L106" s="258" t="e">
        <f>L105/VLOOKUP($C105,#REF!,7,0)</f>
        <v>#REF!</v>
      </c>
      <c r="M106" s="1185"/>
      <c r="N106" s="55"/>
      <c r="O106" s="175" t="s">
        <v>116</v>
      </c>
      <c r="P106" s="258" t="e">
        <f>Q106+U106+W106</f>
        <v>#REF!</v>
      </c>
      <c r="Q106" s="269" t="e">
        <f>Q105/VLOOKUP(C105,#REF!,7,0)</f>
        <v>#REF!</v>
      </c>
      <c r="R106" s="1219"/>
      <c r="S106" s="55"/>
      <c r="T106" s="175" t="s">
        <v>116</v>
      </c>
      <c r="U106" s="258"/>
      <c r="V106" s="1185"/>
      <c r="W106" s="258" t="e">
        <f>W105/VLOOKUP($C105,#REF!,7,0)</f>
        <v>#REF!</v>
      </c>
      <c r="X106" s="1219"/>
      <c r="Y106" s="1185"/>
      <c r="Z106" s="55"/>
      <c r="AA106" s="766"/>
      <c r="AD106" s="33" t="str">
        <f>C105&amp;F106</f>
        <v>BulgariaUSD bn</v>
      </c>
    </row>
    <row r="107" spans="1:30" ht="243.65" customHeight="1">
      <c r="A107" s="1268"/>
      <c r="B107" s="1268"/>
      <c r="C107" s="1257"/>
      <c r="D107" s="1254"/>
      <c r="E107" s="12"/>
      <c r="F107" s="53" t="s">
        <v>117</v>
      </c>
      <c r="G107" s="252" t="e">
        <f>(G105/VLOOKUP($C105,#REF!,4,0))*100</f>
        <v>#REF!</v>
      </c>
      <c r="H107" s="252" t="e">
        <f>(H105/VLOOKUP($C105,#REF!,4,0))*100</f>
        <v>#REF!</v>
      </c>
      <c r="I107" s="1204"/>
      <c r="J107" s="252" t="e">
        <f>(J105/VLOOKUP($C105,#REF!,4,0))*100</f>
        <v>#REF!</v>
      </c>
      <c r="K107" s="1192"/>
      <c r="L107" s="252" t="e">
        <f>(L105/VLOOKUP($C105,#REF!,4,0))*100</f>
        <v>#REF!</v>
      </c>
      <c r="M107" s="1186"/>
      <c r="N107" s="12"/>
      <c r="O107" s="53" t="s">
        <v>117</v>
      </c>
      <c r="P107" s="252" t="e">
        <f>Q107+U107+W107</f>
        <v>#REF!</v>
      </c>
      <c r="Q107" s="252" t="e">
        <f>(Q105/VLOOKUP($C105,#REF!,4,0))*100</f>
        <v>#REF!</v>
      </c>
      <c r="R107" s="1186"/>
      <c r="S107" s="12"/>
      <c r="T107" s="53" t="s">
        <v>117</v>
      </c>
      <c r="U107" s="252"/>
      <c r="V107" s="1186"/>
      <c r="W107" s="252" t="e">
        <f>(W105/VLOOKUP($C105,#REF!,4,0))*100</f>
        <v>#REF!</v>
      </c>
      <c r="X107" s="1186"/>
      <c r="Y107" s="1186"/>
      <c r="Z107" s="52"/>
      <c r="AA107" s="788"/>
      <c r="AD107" s="33" t="str">
        <f>C105&amp;F107</f>
        <v>Bulgaria% GDP</v>
      </c>
    </row>
    <row r="108" spans="1:30" s="35" customFormat="1" ht="37" customHeight="1">
      <c r="A108" s="1268">
        <v>0</v>
      </c>
      <c r="B108" s="1268" t="s">
        <v>861</v>
      </c>
      <c r="C108" s="1256" t="s">
        <v>42</v>
      </c>
      <c r="D108" s="1266" t="s">
        <v>571</v>
      </c>
      <c r="E108" s="16"/>
      <c r="F108" s="38" t="s">
        <v>115</v>
      </c>
      <c r="G108" s="281">
        <v>16000</v>
      </c>
      <c r="H108" s="282">
        <v>1400</v>
      </c>
      <c r="I108" s="1278" t="s">
        <v>634</v>
      </c>
      <c r="J108" s="282">
        <f>G108-H108</f>
        <v>14600</v>
      </c>
      <c r="K108" s="1190" t="s">
        <v>872</v>
      </c>
      <c r="L108" s="282">
        <v>4400</v>
      </c>
      <c r="M108" s="1238" t="s">
        <v>1158</v>
      </c>
      <c r="N108" s="16"/>
      <c r="O108" s="175" t="s">
        <v>115</v>
      </c>
      <c r="P108" s="282">
        <f t="shared" si="6"/>
        <v>4100</v>
      </c>
      <c r="Q108" s="282"/>
      <c r="R108" s="1238"/>
      <c r="S108" s="16"/>
      <c r="T108" s="175" t="s">
        <v>115</v>
      </c>
      <c r="U108" s="282"/>
      <c r="V108" s="1238"/>
      <c r="W108" s="102">
        <v>4100</v>
      </c>
      <c r="X108" s="1233" t="s">
        <v>1159</v>
      </c>
      <c r="Y108" s="1184" t="s">
        <v>244</v>
      </c>
      <c r="Z108" s="16"/>
      <c r="AA108" s="1225" t="s">
        <v>50</v>
      </c>
      <c r="AD108" s="33" t="str">
        <f>C108&amp;F108</f>
        <v>ChileLC bn</v>
      </c>
    </row>
    <row r="109" spans="1:30" s="37" customFormat="1" ht="42.65" customHeight="1">
      <c r="A109" s="1268"/>
      <c r="B109" s="1268"/>
      <c r="C109" s="1256"/>
      <c r="D109" s="1266"/>
      <c r="E109" s="35"/>
      <c r="F109" s="175" t="s">
        <v>116</v>
      </c>
      <c r="G109" s="251" t="e">
        <f>G108/VLOOKUP($C108,#REF!,7,0)</f>
        <v>#REF!</v>
      </c>
      <c r="H109" s="258" t="e">
        <f>H108/VLOOKUP($C108,#REF!,7,0)</f>
        <v>#REF!</v>
      </c>
      <c r="I109" s="1279"/>
      <c r="J109" s="251" t="e">
        <f>J108/VLOOKUP($C108,#REF!,7,0)</f>
        <v>#REF!</v>
      </c>
      <c r="K109" s="1238"/>
      <c r="L109" s="258" t="e">
        <f>L108/VLOOKUP($C108,#REF!,7,0)</f>
        <v>#REF!</v>
      </c>
      <c r="M109" s="1238"/>
      <c r="N109" s="35"/>
      <c r="O109" s="175" t="s">
        <v>116</v>
      </c>
      <c r="P109" s="412" t="e">
        <f t="shared" si="6"/>
        <v>#REF!</v>
      </c>
      <c r="Q109" s="258"/>
      <c r="R109" s="1238"/>
      <c r="S109" s="35"/>
      <c r="T109" s="175" t="s">
        <v>116</v>
      </c>
      <c r="U109" s="258"/>
      <c r="V109" s="1238"/>
      <c r="W109" s="258" t="e">
        <f>W108/VLOOKUP($C108,#REF!,7,0)</f>
        <v>#REF!</v>
      </c>
      <c r="X109" s="1247"/>
      <c r="Y109" s="1185"/>
      <c r="Z109" s="35"/>
      <c r="AA109" s="1226"/>
      <c r="AD109" s="33" t="str">
        <f>C108&amp;F109</f>
        <v>ChileUSD bn</v>
      </c>
    </row>
    <row r="110" spans="1:30" ht="43" customHeight="1">
      <c r="A110" s="1268"/>
      <c r="B110" s="1268"/>
      <c r="C110" s="1257"/>
      <c r="D110" s="1261"/>
      <c r="E110" s="12"/>
      <c r="F110" s="53" t="s">
        <v>117</v>
      </c>
      <c r="G110" s="252" t="e">
        <f>(G108/VLOOKUP($C108,#REF!,4,0))*100</f>
        <v>#REF!</v>
      </c>
      <c r="H110" s="252" t="e">
        <f>(H108/VLOOKUP($C108,#REF!,4,0))*100</f>
        <v>#REF!</v>
      </c>
      <c r="I110" s="1280"/>
      <c r="J110" s="252" t="e">
        <f>(J108/VLOOKUP($C108,#REF!,4,0))*100</f>
        <v>#REF!</v>
      </c>
      <c r="K110" s="1192"/>
      <c r="L110" s="790" t="e">
        <f>(L108/VLOOKUP(C108,#REF!,4,0))*100</f>
        <v>#REF!</v>
      </c>
      <c r="M110" s="1192"/>
      <c r="N110" s="12"/>
      <c r="O110" s="53" t="s">
        <v>117</v>
      </c>
      <c r="P110" s="499" t="e">
        <f t="shared" si="6"/>
        <v>#REF!</v>
      </c>
      <c r="Q110" s="252"/>
      <c r="R110" s="1192"/>
      <c r="S110" s="12"/>
      <c r="T110" s="53" t="s">
        <v>117</v>
      </c>
      <c r="U110" s="252"/>
      <c r="V110" s="1192"/>
      <c r="W110" s="252" t="e">
        <f>(W108/VLOOKUP($C108,#REF!,4,0))*100</f>
        <v>#REF!</v>
      </c>
      <c r="X110" s="1248"/>
      <c r="Y110" s="1186"/>
      <c r="Z110" s="52"/>
      <c r="AA110" s="1227"/>
      <c r="AD110" s="33" t="str">
        <f>C108&amp;F110</f>
        <v>Chile% GDP</v>
      </c>
    </row>
    <row r="111" spans="1:30" s="35" customFormat="1" ht="108.65" customHeight="1">
      <c r="A111" s="1268">
        <v>0</v>
      </c>
      <c r="B111" s="1268" t="s">
        <v>861</v>
      </c>
      <c r="C111" s="1256" t="s">
        <v>34</v>
      </c>
      <c r="D111" s="1252" t="s">
        <v>570</v>
      </c>
      <c r="E111" s="16"/>
      <c r="F111" s="38" t="s">
        <v>115</v>
      </c>
      <c r="G111" s="186">
        <v>20276</v>
      </c>
      <c r="H111" s="186">
        <v>8243</v>
      </c>
      <c r="I111" s="1220" t="s">
        <v>1160</v>
      </c>
      <c r="J111" s="186">
        <v>12033</v>
      </c>
      <c r="K111" s="1184" t="s">
        <v>1161</v>
      </c>
      <c r="L111" s="776">
        <v>400</v>
      </c>
      <c r="M111" s="1184" t="s">
        <v>766</v>
      </c>
      <c r="N111" s="16"/>
      <c r="O111" s="175" t="s">
        <v>115</v>
      </c>
      <c r="P111" s="186">
        <f>Q111+U111+W111</f>
        <v>3755</v>
      </c>
      <c r="Q111" s="186">
        <v>3755</v>
      </c>
      <c r="R111" s="1228" t="s">
        <v>713</v>
      </c>
      <c r="S111" s="16"/>
      <c r="T111" s="175" t="s">
        <v>115</v>
      </c>
      <c r="U111" s="286"/>
      <c r="V111" s="1184"/>
      <c r="W111" s="22"/>
      <c r="X111" s="22"/>
      <c r="Y111" s="22"/>
      <c r="Z111" s="16"/>
      <c r="AA111" s="765"/>
      <c r="AD111" s="33" t="str">
        <f>C111&amp;F111</f>
        <v>ColombiaLC bn</v>
      </c>
    </row>
    <row r="112" spans="1:30" s="35" customFormat="1" ht="109" customHeight="1">
      <c r="A112" s="1268"/>
      <c r="B112" s="1268"/>
      <c r="C112" s="1256"/>
      <c r="D112" s="1253"/>
      <c r="F112" s="175" t="s">
        <v>116</v>
      </c>
      <c r="G112" s="258" t="e">
        <f>G111/VLOOKUP($C111,#REF!,7,0)</f>
        <v>#REF!</v>
      </c>
      <c r="H112" s="258" t="e">
        <f>H111/VLOOKUP($C111,#REF!,7,0)</f>
        <v>#REF!</v>
      </c>
      <c r="I112" s="1287"/>
      <c r="J112" s="258" t="e">
        <f>J111/VLOOKUP($C111,#REF!,7,0)</f>
        <v>#REF!</v>
      </c>
      <c r="K112" s="1219"/>
      <c r="L112" s="258" t="e">
        <f>L111/VLOOKUP($C111,#REF!,7,0)</f>
        <v>#REF!</v>
      </c>
      <c r="M112" s="1185"/>
      <c r="O112" s="175" t="s">
        <v>116</v>
      </c>
      <c r="P112" s="785" t="e">
        <f>Q112+U112+W112</f>
        <v>#REF!</v>
      </c>
      <c r="Q112" s="269" t="e">
        <f>Q111/#REF!</f>
        <v>#REF!</v>
      </c>
      <c r="R112" s="1219"/>
      <c r="T112" s="175" t="s">
        <v>116</v>
      </c>
      <c r="U112" s="258"/>
      <c r="V112" s="1185"/>
      <c r="W112" s="58"/>
      <c r="X112" s="58"/>
      <c r="Y112" s="58"/>
      <c r="AA112" s="766"/>
      <c r="AD112" s="33" t="str">
        <f>C111&amp;F112</f>
        <v>ColombiaUSD bn</v>
      </c>
    </row>
    <row r="113" spans="1:30" ht="148.5" customHeight="1">
      <c r="A113" s="1268"/>
      <c r="B113" s="1268"/>
      <c r="C113" s="1257"/>
      <c r="D113" s="1254"/>
      <c r="E113" s="12"/>
      <c r="F113" s="53" t="s">
        <v>117</v>
      </c>
      <c r="G113" s="252" t="e">
        <f>(G111/VLOOKUP($C111,#REF!,4,0))*100</f>
        <v>#REF!</v>
      </c>
      <c r="H113" s="252" t="e">
        <f>(H111/VLOOKUP($C111,#REF!,4,0))*100</f>
        <v>#REF!</v>
      </c>
      <c r="I113" s="1222"/>
      <c r="J113" s="252" t="e">
        <f>(J111/VLOOKUP($C111,#REF!,4,0))*100</f>
        <v>#REF!</v>
      </c>
      <c r="K113" s="1186"/>
      <c r="L113" s="252" t="e">
        <f>(L111/VLOOKUP($C111,#REF!,4,0))*100</f>
        <v>#REF!</v>
      </c>
      <c r="M113" s="1186"/>
      <c r="N113" s="12"/>
      <c r="O113" s="53" t="s">
        <v>117</v>
      </c>
      <c r="P113" s="17" t="e">
        <f>Q113+U113+W113</f>
        <v>#REF!</v>
      </c>
      <c r="Q113" s="267" t="e">
        <f>Q111/#REF!*100</f>
        <v>#REF!</v>
      </c>
      <c r="R113" s="1186"/>
      <c r="S113" s="12"/>
      <c r="T113" s="53" t="s">
        <v>117</v>
      </c>
      <c r="U113" s="252"/>
      <c r="V113" s="1186"/>
      <c r="W113" s="767"/>
      <c r="X113" s="767"/>
      <c r="Y113" s="767"/>
      <c r="Z113" s="52"/>
      <c r="AA113" s="788"/>
      <c r="AD113" s="33" t="str">
        <f>C111&amp;F113</f>
        <v>Colombia% GDP</v>
      </c>
    </row>
    <row r="114" spans="1:30" s="37" customFormat="1" ht="99.65" customHeight="1">
      <c r="A114" s="1268">
        <v>0</v>
      </c>
      <c r="B114" s="1268" t="s">
        <v>861</v>
      </c>
      <c r="C114" s="1256" t="s">
        <v>23</v>
      </c>
      <c r="D114" s="1252" t="s">
        <v>571</v>
      </c>
      <c r="E114" s="14"/>
      <c r="F114" s="38" t="s">
        <v>115</v>
      </c>
      <c r="G114" s="255">
        <v>100</v>
      </c>
      <c r="H114" s="776">
        <v>8.3000000000000007</v>
      </c>
      <c r="I114" s="1193" t="s">
        <v>1151</v>
      </c>
      <c r="J114" s="177">
        <f>G114-H114</f>
        <v>91.7</v>
      </c>
      <c r="K114" s="1184" t="s">
        <v>1152</v>
      </c>
      <c r="L114" s="765"/>
      <c r="M114" s="1184" t="s">
        <v>637</v>
      </c>
      <c r="N114" s="14"/>
      <c r="O114" s="175" t="s">
        <v>115</v>
      </c>
      <c r="P114" s="784">
        <f>U114</f>
        <v>3</v>
      </c>
      <c r="Q114" s="117" t="s">
        <v>84</v>
      </c>
      <c r="R114" s="1202" t="s">
        <v>322</v>
      </c>
      <c r="S114" s="14"/>
      <c r="T114" s="175" t="s">
        <v>115</v>
      </c>
      <c r="U114" s="806">
        <v>3</v>
      </c>
      <c r="V114" s="1184" t="s">
        <v>560</v>
      </c>
      <c r="W114" s="765"/>
      <c r="X114" s="765"/>
      <c r="Y114" s="765"/>
      <c r="Z114" s="14"/>
      <c r="AA114" s="765"/>
      <c r="AD114" s="33" t="str">
        <f>C114&amp;F114</f>
        <v>EgyptLC bn</v>
      </c>
    </row>
    <row r="115" spans="1:30" s="37" customFormat="1" ht="95.15" customHeight="1">
      <c r="A115" s="1268"/>
      <c r="B115" s="1268"/>
      <c r="C115" s="1256"/>
      <c r="D115" s="1253"/>
      <c r="F115" s="175" t="s">
        <v>116</v>
      </c>
      <c r="G115" s="258" t="e">
        <f>G114/VLOOKUP(C114,#REF!,7,0)</f>
        <v>#REF!</v>
      </c>
      <c r="H115" s="258" t="e">
        <f>H114/VLOOKUP($C114,#REF!,7,0)</f>
        <v>#REF!</v>
      </c>
      <c r="I115" s="1203"/>
      <c r="J115" s="785" t="e">
        <f>J114/VLOOKUP(C114,#REF!,7,0)</f>
        <v>#REF!</v>
      </c>
      <c r="K115" s="1185"/>
      <c r="L115" s="766"/>
      <c r="M115" s="1185"/>
      <c r="O115" s="175" t="s">
        <v>116</v>
      </c>
      <c r="P115" s="785" t="e">
        <f t="shared" ref="P115:P158" si="8">Q115+U115+W115</f>
        <v>#REF!</v>
      </c>
      <c r="Q115" s="277"/>
      <c r="R115" s="1203"/>
      <c r="T115" s="175" t="s">
        <v>116</v>
      </c>
      <c r="U115" s="807" t="e">
        <f>U114/VLOOKUP(C114,#REF!,7,0)</f>
        <v>#REF!</v>
      </c>
      <c r="V115" s="1185"/>
      <c r="W115" s="766"/>
      <c r="X115" s="766"/>
      <c r="Y115" s="766"/>
      <c r="AA115" s="766"/>
      <c r="AD115" s="33" t="str">
        <f>C114&amp;F115</f>
        <v>EgyptUSD bn</v>
      </c>
    </row>
    <row r="116" spans="1:30" ht="181.5" customHeight="1">
      <c r="A116" s="1268"/>
      <c r="B116" s="1268"/>
      <c r="C116" s="1257"/>
      <c r="D116" s="1254"/>
      <c r="E116" s="12"/>
      <c r="F116" s="53" t="s">
        <v>117</v>
      </c>
      <c r="G116" s="252" t="e">
        <f>(G114/VLOOKUP(C114,#REF!,4,0))*100</f>
        <v>#REF!</v>
      </c>
      <c r="H116" s="252" t="e">
        <f>(H114/VLOOKUP($C114,#REF!,4,0))*100</f>
        <v>#REF!</v>
      </c>
      <c r="I116" s="1204"/>
      <c r="J116" s="790" t="e">
        <f>(J114/VLOOKUP(C114,#REF!,4,0))*100</f>
        <v>#REF!</v>
      </c>
      <c r="K116" s="1186"/>
      <c r="L116" s="767"/>
      <c r="M116" s="1186"/>
      <c r="N116" s="12"/>
      <c r="O116" s="53" t="s">
        <v>117</v>
      </c>
      <c r="P116" s="17" t="e">
        <f t="shared" si="8"/>
        <v>#REF!</v>
      </c>
      <c r="Q116" s="267"/>
      <c r="R116" s="1204"/>
      <c r="S116" s="12"/>
      <c r="T116" s="53" t="s">
        <v>117</v>
      </c>
      <c r="U116" s="252" t="e">
        <f>(U114/VLOOKUP(C114,#REF!,4,0))*100</f>
        <v>#REF!</v>
      </c>
      <c r="V116" s="1186"/>
      <c r="W116" s="767"/>
      <c r="X116" s="767"/>
      <c r="Y116" s="767"/>
      <c r="Z116" s="52"/>
      <c r="AA116" s="788"/>
      <c r="AD116" s="33" t="str">
        <f>C114&amp;F116</f>
        <v>Egypt% GDP</v>
      </c>
    </row>
    <row r="117" spans="1:30" ht="108" customHeight="1">
      <c r="A117" s="1268">
        <v>0</v>
      </c>
      <c r="B117" s="1268" t="s">
        <v>861</v>
      </c>
      <c r="C117" s="1256" t="s">
        <v>549</v>
      </c>
      <c r="D117" s="1266" t="s">
        <v>570</v>
      </c>
      <c r="E117" s="35"/>
      <c r="F117" s="38" t="s">
        <v>115</v>
      </c>
      <c r="G117" s="502">
        <v>2</v>
      </c>
      <c r="H117" s="503">
        <v>0.52300000000000002</v>
      </c>
      <c r="I117" s="1270" t="s">
        <v>781</v>
      </c>
      <c r="J117" s="503">
        <f>G117-H117</f>
        <v>1.4769999999999999</v>
      </c>
      <c r="K117" s="1193" t="s">
        <v>1197</v>
      </c>
      <c r="L117" s="766"/>
      <c r="M117" s="1193" t="s">
        <v>816</v>
      </c>
      <c r="N117" s="509"/>
      <c r="O117" s="175" t="s">
        <v>115</v>
      </c>
      <c r="P117" s="502">
        <f>Q117+U117+W117</f>
        <v>7.0000000000000007E-2</v>
      </c>
      <c r="Q117" s="502">
        <v>7.0000000000000007E-2</v>
      </c>
      <c r="R117" s="1193" t="s">
        <v>784</v>
      </c>
      <c r="S117" s="35"/>
      <c r="T117" s="175" t="s">
        <v>115</v>
      </c>
      <c r="U117" s="489"/>
      <c r="V117" s="1241"/>
      <c r="W117" s="766"/>
      <c r="X117" s="766"/>
      <c r="Y117" s="766"/>
      <c r="AA117" s="787"/>
      <c r="AD117" s="33" t="str">
        <f>C117&amp;F117</f>
        <v>GeorgiaLC bn</v>
      </c>
    </row>
    <row r="118" spans="1:30" ht="108" customHeight="1">
      <c r="A118" s="1268"/>
      <c r="B118" s="1268"/>
      <c r="C118" s="1256"/>
      <c r="D118" s="1266"/>
      <c r="E118" s="35"/>
      <c r="F118" s="175" t="s">
        <v>116</v>
      </c>
      <c r="G118" s="258" t="e">
        <f>G117/VLOOKUP($C117,#REF!,7,0)</f>
        <v>#REF!</v>
      </c>
      <c r="H118" s="258" t="e">
        <f>H117/VLOOKUP($C117,#REF!,7,0)</f>
        <v>#REF!</v>
      </c>
      <c r="I118" s="1216"/>
      <c r="J118" s="258" t="e">
        <f>J117/VLOOKUP($C117,#REF!,7,0)</f>
        <v>#REF!</v>
      </c>
      <c r="K118" s="1216"/>
      <c r="L118" s="258"/>
      <c r="M118" s="1216"/>
      <c r="N118" s="509"/>
      <c r="O118" s="175" t="s">
        <v>116</v>
      </c>
      <c r="P118" s="807" t="e">
        <f>Q118+U118+W118</f>
        <v>#REF!</v>
      </c>
      <c r="Q118" s="77" t="e">
        <f>Q117/#REF!</f>
        <v>#REF!</v>
      </c>
      <c r="R118" s="1216"/>
      <c r="S118" s="35"/>
      <c r="T118" s="175" t="s">
        <v>116</v>
      </c>
      <c r="U118" s="258"/>
      <c r="V118" s="1284"/>
      <c r="W118" s="766"/>
      <c r="X118" s="766"/>
      <c r="Y118" s="766"/>
      <c r="AA118" s="787"/>
      <c r="AD118" s="33" t="str">
        <f>C117&amp;F118</f>
        <v>GeorgiaUSD bn</v>
      </c>
    </row>
    <row r="119" spans="1:30" ht="108" customHeight="1">
      <c r="A119" s="1268"/>
      <c r="B119" s="1268"/>
      <c r="C119" s="1257"/>
      <c r="D119" s="1261"/>
      <c r="E119" s="35"/>
      <c r="F119" s="53" t="s">
        <v>117</v>
      </c>
      <c r="G119" s="252" t="e">
        <f>(G117/VLOOKUP($C117,#REF!,4,0))*100</f>
        <v>#REF!</v>
      </c>
      <c r="H119" s="252" t="e">
        <f>(H117/VLOOKUP($C117,#REF!,4,0))*100</f>
        <v>#REF!</v>
      </c>
      <c r="I119" s="1197"/>
      <c r="J119" s="252" t="e">
        <f>(J117/VLOOKUP($C117,#REF!,4,0))*100</f>
        <v>#REF!</v>
      </c>
      <c r="K119" s="1197"/>
      <c r="L119" s="252"/>
      <c r="M119" s="1197"/>
      <c r="N119" s="509"/>
      <c r="O119" s="53" t="s">
        <v>117</v>
      </c>
      <c r="P119" s="252" t="e">
        <f>Q119+U119+W119</f>
        <v>#REF!</v>
      </c>
      <c r="Q119" s="78" t="e">
        <f>Q117/#REF!*100</f>
        <v>#REF!</v>
      </c>
      <c r="R119" s="1197"/>
      <c r="S119" s="35"/>
      <c r="T119" s="53" t="s">
        <v>117</v>
      </c>
      <c r="U119" s="252"/>
      <c r="V119" s="1243"/>
      <c r="W119" s="766"/>
      <c r="X119" s="766"/>
      <c r="Y119" s="766"/>
      <c r="AA119" s="787"/>
      <c r="AD119" s="33" t="str">
        <f>C117&amp;F119</f>
        <v>Georgia% GDP</v>
      </c>
    </row>
    <row r="120" spans="1:30" s="796" customFormat="1" ht="84.65" customHeight="1">
      <c r="A120" s="1268">
        <v>0</v>
      </c>
      <c r="B120" s="1268" t="s">
        <v>861</v>
      </c>
      <c r="C120" s="1282" t="s">
        <v>35</v>
      </c>
      <c r="D120" s="1266" t="s">
        <v>571</v>
      </c>
      <c r="E120" s="504"/>
      <c r="F120" s="505" t="s">
        <v>115</v>
      </c>
      <c r="G120" s="186">
        <v>1400</v>
      </c>
      <c r="H120" s="778" t="s">
        <v>84</v>
      </c>
      <c r="I120" s="1193" t="s">
        <v>638</v>
      </c>
      <c r="J120" s="778" t="s">
        <v>84</v>
      </c>
      <c r="K120" s="1193" t="s">
        <v>1198</v>
      </c>
      <c r="L120" s="778" t="s">
        <v>84</v>
      </c>
      <c r="M120" s="1193" t="s">
        <v>809</v>
      </c>
      <c r="N120" s="795"/>
      <c r="O120" s="38" t="s">
        <v>115</v>
      </c>
      <c r="P120" s="186">
        <f>Q120+W120</f>
        <v>1900</v>
      </c>
      <c r="Q120" s="186">
        <v>1300</v>
      </c>
      <c r="R120" s="1193" t="s">
        <v>655</v>
      </c>
      <c r="S120" s="795"/>
      <c r="T120" s="38" t="s">
        <v>115</v>
      </c>
      <c r="U120" s="255"/>
      <c r="V120" s="1193" t="s">
        <v>576</v>
      </c>
      <c r="W120" s="776">
        <v>600</v>
      </c>
      <c r="X120" s="1193" t="s">
        <v>577</v>
      </c>
      <c r="Y120" s="765"/>
      <c r="Z120" s="795"/>
      <c r="AA120" s="765"/>
      <c r="AD120" s="33" t="str">
        <f>C120&amp;F120</f>
        <v>KazakhstanLC bn</v>
      </c>
    </row>
    <row r="121" spans="1:30" s="796" customFormat="1" ht="84.65" customHeight="1">
      <c r="A121" s="1268"/>
      <c r="B121" s="1268"/>
      <c r="C121" s="1282"/>
      <c r="D121" s="1266"/>
      <c r="E121" s="184"/>
      <c r="F121" s="506" t="s">
        <v>116</v>
      </c>
      <c r="G121" s="258" t="e">
        <f>G120/VLOOKUP($C120,#REF!,7,0)</f>
        <v>#REF!</v>
      </c>
      <c r="H121" s="779"/>
      <c r="I121" s="1216"/>
      <c r="J121" s="777"/>
      <c r="K121" s="1216"/>
      <c r="L121" s="766"/>
      <c r="M121" s="1216"/>
      <c r="O121" s="175" t="s">
        <v>116</v>
      </c>
      <c r="P121" s="412" t="e">
        <f t="shared" si="8"/>
        <v>#REF!</v>
      </c>
      <c r="Q121" s="258" t="e">
        <f>Q120/VLOOKUP($C120,#REF!,7,0)</f>
        <v>#REF!</v>
      </c>
      <c r="R121" s="1216"/>
      <c r="T121" s="175" t="s">
        <v>116</v>
      </c>
      <c r="U121" s="807"/>
      <c r="V121" s="1216"/>
      <c r="W121" s="258" t="e">
        <f>W120/VLOOKUP($C120,#REF!,7,0)</f>
        <v>#REF!</v>
      </c>
      <c r="X121" s="1216"/>
      <c r="Y121" s="766"/>
      <c r="AA121" s="766"/>
      <c r="AD121" s="33" t="str">
        <f>C120&amp;F121</f>
        <v>KazakhstanUSD bn</v>
      </c>
    </row>
    <row r="122" spans="1:30" ht="84.65" customHeight="1">
      <c r="A122" s="1268"/>
      <c r="B122" s="1268"/>
      <c r="C122" s="1283"/>
      <c r="D122" s="1261"/>
      <c r="E122" s="507"/>
      <c r="F122" s="508" t="s">
        <v>117</v>
      </c>
      <c r="G122" s="252" t="e">
        <f>(G120/VLOOKUP($C120,#REF!,4,0))*100</f>
        <v>#REF!</v>
      </c>
      <c r="H122" s="780"/>
      <c r="I122" s="1197"/>
      <c r="J122" s="790"/>
      <c r="K122" s="1197"/>
      <c r="L122" s="767"/>
      <c r="M122" s="1197"/>
      <c r="N122" s="12"/>
      <c r="O122" s="53" t="s">
        <v>117</v>
      </c>
      <c r="P122" s="499" t="e">
        <f t="shared" si="8"/>
        <v>#REF!</v>
      </c>
      <c r="Q122" s="252" t="e">
        <f>(Q120/VLOOKUP($C120,#REF!,4,0))*100</f>
        <v>#REF!</v>
      </c>
      <c r="R122" s="1197"/>
      <c r="S122" s="12"/>
      <c r="T122" s="53" t="s">
        <v>117</v>
      </c>
      <c r="U122" s="252"/>
      <c r="V122" s="1197"/>
      <c r="W122" s="252" t="e">
        <f>(W120/VLOOKUP($C120,#REF!,4,0))*100</f>
        <v>#REF!</v>
      </c>
      <c r="X122" s="1197"/>
      <c r="Y122" s="767"/>
      <c r="Z122" s="52"/>
      <c r="AA122" s="788"/>
      <c r="AD122" s="33" t="str">
        <f>C120&amp;F122</f>
        <v>Kazakhstan% GDP</v>
      </c>
    </row>
    <row r="123" spans="1:30" ht="90" customHeight="1">
      <c r="A123" s="801"/>
      <c r="B123" s="801"/>
      <c r="C123" s="1255" t="s">
        <v>970</v>
      </c>
      <c r="D123" s="1252" t="s">
        <v>570</v>
      </c>
      <c r="E123" s="37"/>
      <c r="F123" s="175" t="s">
        <v>115</v>
      </c>
      <c r="G123" s="807">
        <f>H123+J123</f>
        <v>0.4</v>
      </c>
      <c r="H123" s="776">
        <v>0.2</v>
      </c>
      <c r="I123" s="1220" t="s">
        <v>1191</v>
      </c>
      <c r="J123" s="785">
        <v>0.2</v>
      </c>
      <c r="K123" s="1190" t="s">
        <v>1192</v>
      </c>
      <c r="L123" s="766"/>
      <c r="M123" s="1184"/>
      <c r="N123" s="37"/>
      <c r="O123" s="175" t="s">
        <v>115</v>
      </c>
      <c r="P123" s="498">
        <f t="shared" si="8"/>
        <v>3.5000000000000003E-2</v>
      </c>
      <c r="Q123" s="277">
        <v>0.02</v>
      </c>
      <c r="R123" s="1184" t="s">
        <v>1193</v>
      </c>
      <c r="S123" s="37"/>
      <c r="T123" s="175" t="s">
        <v>115</v>
      </c>
      <c r="U123" s="807">
        <v>1.4999999999999999E-2</v>
      </c>
      <c r="V123" s="1193" t="s">
        <v>1194</v>
      </c>
      <c r="W123" s="766"/>
      <c r="X123" s="766"/>
      <c r="Y123" s="766"/>
      <c r="AA123" s="787"/>
      <c r="AD123" s="33" t="str">
        <f t="shared" ref="AD123" si="9">C123&amp;F123</f>
        <v>KosovoLC bn</v>
      </c>
    </row>
    <row r="124" spans="1:30" ht="90" customHeight="1">
      <c r="A124" s="801">
        <v>0</v>
      </c>
      <c r="B124" s="801" t="s">
        <v>861</v>
      </c>
      <c r="C124" s="1256"/>
      <c r="D124" s="1253"/>
      <c r="E124" s="37"/>
      <c r="F124" s="175" t="s">
        <v>116</v>
      </c>
      <c r="G124" s="258" t="e">
        <f>G123/VLOOKUP(C123,#REF!,7,0)</f>
        <v>#REF!</v>
      </c>
      <c r="H124" s="258" t="e">
        <f>H123/VLOOKUP($C123,#REF!,7,0)</f>
        <v>#REF!</v>
      </c>
      <c r="I124" s="1221"/>
      <c r="J124" s="258" t="e">
        <f>J123/VLOOKUP($C123,#REF!,7,0)</f>
        <v>#REF!</v>
      </c>
      <c r="K124" s="1191"/>
      <c r="L124" s="766"/>
      <c r="M124" s="1185"/>
      <c r="N124" s="37"/>
      <c r="O124" s="175" t="s">
        <v>116</v>
      </c>
      <c r="P124" s="412" t="e">
        <f t="shared" si="8"/>
        <v>#REF!</v>
      </c>
      <c r="Q124" s="810"/>
      <c r="R124" s="1185"/>
      <c r="S124" s="37"/>
      <c r="T124" s="175" t="s">
        <v>116</v>
      </c>
      <c r="U124" s="258" t="e">
        <f>U123/VLOOKUP(C123,#REF!,7,0)</f>
        <v>#REF!</v>
      </c>
      <c r="V124" s="1196"/>
      <c r="W124" s="766"/>
      <c r="X124" s="766"/>
      <c r="Y124" s="766"/>
      <c r="AA124" s="787"/>
      <c r="AD124" s="33" t="str">
        <f t="shared" ref="AD124" si="10">C123&amp;F124</f>
        <v>KosovoUSD bn</v>
      </c>
    </row>
    <row r="125" spans="1:30" ht="90" customHeight="1">
      <c r="A125" s="801"/>
      <c r="B125" s="801"/>
      <c r="C125" s="1257"/>
      <c r="D125" s="1254"/>
      <c r="E125" s="12"/>
      <c r="F125" s="53" t="s">
        <v>117</v>
      </c>
      <c r="G125" s="252" t="e">
        <f>(G123/VLOOKUP(C123,#REF!,4,0))*100</f>
        <v>#REF!</v>
      </c>
      <c r="H125" s="252" t="e">
        <f>(H123/VLOOKUP($C123,#REF!,4,0))*100</f>
        <v>#REF!</v>
      </c>
      <c r="I125" s="1222"/>
      <c r="J125" s="252" t="e">
        <f>J123/VLOOKUP($C123,#REF!,4,0)*100</f>
        <v>#REF!</v>
      </c>
      <c r="K125" s="1192"/>
      <c r="L125" s="767"/>
      <c r="M125" s="1186"/>
      <c r="N125" s="12"/>
      <c r="O125" s="53" t="s">
        <v>117</v>
      </c>
      <c r="P125" s="499" t="e">
        <f t="shared" si="8"/>
        <v>#REF!</v>
      </c>
      <c r="Q125" s="811"/>
      <c r="R125" s="1186"/>
      <c r="S125" s="12"/>
      <c r="T125" s="53" t="s">
        <v>117</v>
      </c>
      <c r="U125" s="252" t="e">
        <f>(U123/VLOOKUP(C123,#REF!,4,0))*100</f>
        <v>#REF!</v>
      </c>
      <c r="V125" s="1197"/>
      <c r="W125" s="767"/>
      <c r="X125" s="767"/>
      <c r="Y125" s="767"/>
      <c r="AA125" s="787"/>
      <c r="AD125" s="33" t="str">
        <f t="shared" ref="AD125" si="11">C123&amp;F125</f>
        <v>Kosovo% GDP</v>
      </c>
    </row>
    <row r="126" spans="1:30" ht="46.5" customHeight="1">
      <c r="A126" s="1268">
        <v>0</v>
      </c>
      <c r="B126" s="1268" t="s">
        <v>861</v>
      </c>
      <c r="C126" s="1256" t="s">
        <v>92</v>
      </c>
      <c r="D126" s="1266" t="s">
        <v>570</v>
      </c>
      <c r="E126" s="795"/>
      <c r="F126" s="38" t="s">
        <v>115</v>
      </c>
      <c r="G126" s="806">
        <f>H126+J126</f>
        <v>8.0500000000000007</v>
      </c>
      <c r="H126" s="778">
        <v>1.3</v>
      </c>
      <c r="I126" s="1193" t="s">
        <v>639</v>
      </c>
      <c r="J126" s="806">
        <v>6.75</v>
      </c>
      <c r="K126" s="1193" t="s">
        <v>1199</v>
      </c>
      <c r="L126" s="765"/>
      <c r="M126" s="765"/>
      <c r="N126" s="795"/>
      <c r="O126" s="175" t="s">
        <v>115</v>
      </c>
      <c r="P126" s="498">
        <f t="shared" si="8"/>
        <v>4.3449999999999998</v>
      </c>
      <c r="Q126" s="276">
        <f>4+0.2+0.145</f>
        <v>4.3449999999999998</v>
      </c>
      <c r="R126" s="1193" t="s">
        <v>729</v>
      </c>
      <c r="S126" s="795"/>
      <c r="T126" s="175" t="s">
        <v>115</v>
      </c>
      <c r="U126" s="806"/>
      <c r="V126" s="1184"/>
      <c r="W126" s="765"/>
      <c r="X126" s="765"/>
      <c r="Y126" s="765"/>
      <c r="Z126" s="795"/>
      <c r="AA126" s="765"/>
      <c r="AD126" s="33" t="str">
        <f>C126&amp;F126</f>
        <v>MauritiusLC bn</v>
      </c>
    </row>
    <row r="127" spans="1:30" ht="42.65" customHeight="1">
      <c r="A127" s="1268"/>
      <c r="B127" s="1268"/>
      <c r="C127" s="1256"/>
      <c r="D127" s="1266"/>
      <c r="E127" s="796"/>
      <c r="F127" s="175" t="s">
        <v>116</v>
      </c>
      <c r="G127" s="258" t="e">
        <f>G126/VLOOKUP(C126,#REF!,7,0)</f>
        <v>#REF!</v>
      </c>
      <c r="H127" s="258" t="e">
        <f>H126/VLOOKUP($C126,#REF!,7,0)</f>
        <v>#REF!</v>
      </c>
      <c r="I127" s="1216"/>
      <c r="J127" s="258" t="e">
        <f>J126/VLOOKUP($C126,#REF!,7,0)</f>
        <v>#REF!</v>
      </c>
      <c r="K127" s="1216"/>
      <c r="L127" s="766"/>
      <c r="M127" s="766"/>
      <c r="N127" s="796"/>
      <c r="O127" s="175" t="s">
        <v>116</v>
      </c>
      <c r="P127" s="412" t="e">
        <f t="shared" si="8"/>
        <v>#REF!</v>
      </c>
      <c r="Q127" s="269" t="e">
        <f>Q126/VLOOKUP(C126,#REF!,7,0)</f>
        <v>#REF!</v>
      </c>
      <c r="R127" s="1216"/>
      <c r="S127" s="796"/>
      <c r="T127" s="175" t="s">
        <v>116</v>
      </c>
      <c r="U127" s="807"/>
      <c r="V127" s="1185"/>
      <c r="W127" s="766"/>
      <c r="X127" s="766"/>
      <c r="Y127" s="766"/>
      <c r="Z127" s="796"/>
      <c r="AA127" s="766"/>
      <c r="AD127" s="33" t="str">
        <f>C126&amp;F127</f>
        <v>MauritiusUSD bn</v>
      </c>
    </row>
    <row r="128" spans="1:30" ht="56.5" customHeight="1">
      <c r="A128" s="1268"/>
      <c r="B128" s="1268"/>
      <c r="C128" s="1257"/>
      <c r="D128" s="1261"/>
      <c r="E128" s="12"/>
      <c r="F128" s="53" t="s">
        <v>117</v>
      </c>
      <c r="G128" s="252" t="e">
        <f>(G126/VLOOKUP(C126,#REF!,4,0))*100</f>
        <v>#REF!</v>
      </c>
      <c r="H128" s="252" t="e">
        <f>(H126/VLOOKUP($C126,#REF!,4,0))*100</f>
        <v>#REF!</v>
      </c>
      <c r="I128" s="1197"/>
      <c r="J128" s="252" t="e">
        <f>J126/VLOOKUP($C126,#REF!,4,0)*100</f>
        <v>#REF!</v>
      </c>
      <c r="K128" s="1197"/>
      <c r="L128" s="767"/>
      <c r="M128" s="767"/>
      <c r="N128" s="12"/>
      <c r="O128" s="53" t="s">
        <v>117</v>
      </c>
      <c r="P128" s="499" t="e">
        <f t="shared" si="8"/>
        <v>#REF!</v>
      </c>
      <c r="Q128" s="267" t="e">
        <f>(Q126/VLOOKUP(C126,#REF!,4,0))*100</f>
        <v>#REF!</v>
      </c>
      <c r="R128" s="1197"/>
      <c r="S128" s="12"/>
      <c r="T128" s="53" t="s">
        <v>117</v>
      </c>
      <c r="U128" s="252"/>
      <c r="V128" s="1186"/>
      <c r="W128" s="767"/>
      <c r="X128" s="767"/>
      <c r="Y128" s="767"/>
      <c r="Z128" s="52"/>
      <c r="AA128" s="788"/>
      <c r="AD128" s="33" t="str">
        <f>C126&amp;F128</f>
        <v>Mauritius% GDP</v>
      </c>
    </row>
    <row r="129" spans="1:30" ht="90" customHeight="1">
      <c r="A129" s="801"/>
      <c r="B129" s="801"/>
      <c r="C129" s="1255" t="s">
        <v>1064</v>
      </c>
      <c r="D129" s="1252" t="s">
        <v>570</v>
      </c>
      <c r="E129" s="37"/>
      <c r="F129" s="175" t="s">
        <v>115</v>
      </c>
      <c r="G129" s="807">
        <f>H129+J129</f>
        <v>0.2</v>
      </c>
      <c r="H129" s="776">
        <v>0.1</v>
      </c>
      <c r="I129" s="1220" t="s">
        <v>1179</v>
      </c>
      <c r="J129" s="785">
        <v>0.1</v>
      </c>
      <c r="K129" s="1190" t="s">
        <v>1196</v>
      </c>
      <c r="L129" s="766"/>
      <c r="M129" s="1184"/>
      <c r="N129" s="37"/>
      <c r="O129" s="175" t="s">
        <v>115</v>
      </c>
      <c r="P129" s="498">
        <f t="shared" si="8"/>
        <v>0.1</v>
      </c>
      <c r="Q129" s="277"/>
      <c r="R129" s="766"/>
      <c r="S129" s="37"/>
      <c r="T129" s="175" t="s">
        <v>115</v>
      </c>
      <c r="U129" s="807">
        <v>0.05</v>
      </c>
      <c r="V129" s="1193" t="s">
        <v>1180</v>
      </c>
      <c r="W129" s="410">
        <v>0.05</v>
      </c>
      <c r="X129" s="766"/>
      <c r="Y129" s="766"/>
      <c r="AA129" s="787"/>
      <c r="AD129" s="33" t="str">
        <f t="shared" ref="AD129" si="12">C129&amp;F129</f>
        <v>Montenegro, Rep. ofLC bn</v>
      </c>
    </row>
    <row r="130" spans="1:30" ht="90" customHeight="1">
      <c r="A130" s="801">
        <v>0</v>
      </c>
      <c r="B130" s="801" t="s">
        <v>861</v>
      </c>
      <c r="C130" s="1256"/>
      <c r="D130" s="1253"/>
      <c r="E130" s="37"/>
      <c r="F130" s="175" t="s">
        <v>116</v>
      </c>
      <c r="G130" s="258" t="e">
        <f>G129/VLOOKUP($C129,#REF!,7,0)</f>
        <v>#REF!</v>
      </c>
      <c r="H130" s="258" t="e">
        <f>H129/VLOOKUP($C129,#REF!,7,0)</f>
        <v>#REF!</v>
      </c>
      <c r="I130" s="1221"/>
      <c r="J130" s="258" t="e">
        <f>J129/VLOOKUP($C129,#REF!,7,0)</f>
        <v>#REF!</v>
      </c>
      <c r="K130" s="1191"/>
      <c r="L130" s="766"/>
      <c r="M130" s="1185"/>
      <c r="N130" s="37"/>
      <c r="O130" s="175" t="s">
        <v>116</v>
      </c>
      <c r="P130" s="412" t="e">
        <f t="shared" si="8"/>
        <v>#REF!</v>
      </c>
      <c r="Q130" s="277"/>
      <c r="R130" s="766"/>
      <c r="S130" s="37"/>
      <c r="T130" s="175" t="s">
        <v>116</v>
      </c>
      <c r="U130" s="258" t="e">
        <f>U129/VLOOKUP(C129,#REF!,7,0)</f>
        <v>#REF!</v>
      </c>
      <c r="V130" s="1196"/>
      <c r="W130" s="814"/>
      <c r="X130" s="766" t="s">
        <v>1216</v>
      </c>
      <c r="Y130" s="766"/>
      <c r="AA130" s="787"/>
      <c r="AD130" s="33" t="str">
        <f t="shared" ref="AD130" si="13">C129&amp;F130</f>
        <v>Montenegro, Rep. ofUSD bn</v>
      </c>
    </row>
    <row r="131" spans="1:30" ht="73" customHeight="1">
      <c r="A131" s="801"/>
      <c r="B131" s="801"/>
      <c r="C131" s="1257"/>
      <c r="D131" s="1254"/>
      <c r="E131" s="12"/>
      <c r="F131" s="53" t="s">
        <v>117</v>
      </c>
      <c r="G131" s="252" t="e">
        <f>(G129/VLOOKUP(C129,#REF!,4,0))*100</f>
        <v>#REF!</v>
      </c>
      <c r="H131" s="252" t="e">
        <f>(H129/VLOOKUP($C129,#REF!,4,0))*100</f>
        <v>#REF!</v>
      </c>
      <c r="I131" s="1222"/>
      <c r="J131" s="252" t="e">
        <f>J129/VLOOKUP($C129,#REF!,4,0)*100</f>
        <v>#REF!</v>
      </c>
      <c r="K131" s="1192"/>
      <c r="L131" s="767"/>
      <c r="M131" s="1186"/>
      <c r="N131" s="12"/>
      <c r="O131" s="53" t="s">
        <v>117</v>
      </c>
      <c r="P131" s="499" t="e">
        <f t="shared" si="8"/>
        <v>#REF!</v>
      </c>
      <c r="Q131" s="267"/>
      <c r="R131" s="804"/>
      <c r="S131" s="12"/>
      <c r="T131" s="53" t="s">
        <v>117</v>
      </c>
      <c r="U131" s="252" t="e">
        <f>(U129/VLOOKUP(C129,#REF!,4,0))*100</f>
        <v>#REF!</v>
      </c>
      <c r="V131" s="1197"/>
      <c r="W131" s="815"/>
      <c r="X131" s="767"/>
      <c r="Y131" s="766"/>
      <c r="AA131" s="787"/>
      <c r="AD131" s="33" t="str">
        <f t="shared" ref="AD131" si="14">C129&amp;F131</f>
        <v>Montenegro, Rep. of% GDP</v>
      </c>
    </row>
    <row r="132" spans="1:30" ht="90" customHeight="1">
      <c r="A132" s="801"/>
      <c r="B132" s="801"/>
      <c r="C132" s="1255" t="s">
        <v>963</v>
      </c>
      <c r="D132" s="1252" t="s">
        <v>570</v>
      </c>
      <c r="E132" s="37"/>
      <c r="F132" s="175" t="s">
        <v>115</v>
      </c>
      <c r="G132" s="257">
        <f>H132+J132</f>
        <v>13.7</v>
      </c>
      <c r="H132" s="776"/>
      <c r="I132" s="1220" t="s">
        <v>1184</v>
      </c>
      <c r="J132" s="118">
        <v>13.7</v>
      </c>
      <c r="K132" s="1190" t="s">
        <v>1185</v>
      </c>
      <c r="L132" s="766"/>
      <c r="M132" s="1184"/>
      <c r="N132" s="37"/>
      <c r="O132" s="175" t="s">
        <v>115</v>
      </c>
      <c r="P132" s="498">
        <f t="shared" si="8"/>
        <v>3.9000000000000004</v>
      </c>
      <c r="Q132" s="277"/>
      <c r="R132" s="766"/>
      <c r="S132" s="37"/>
      <c r="T132" s="175" t="s">
        <v>115</v>
      </c>
      <c r="U132" s="807">
        <v>0.8</v>
      </c>
      <c r="V132" s="1193" t="s">
        <v>1186</v>
      </c>
      <c r="W132" s="766">
        <v>3.1</v>
      </c>
      <c r="X132" s="766"/>
      <c r="Y132" s="766"/>
      <c r="AA132" s="787"/>
      <c r="AD132" s="33" t="str">
        <f t="shared" ref="AD132" si="15">C132&amp;F132</f>
        <v>North MacedoniaLC bn</v>
      </c>
    </row>
    <row r="133" spans="1:30" ht="90" customHeight="1">
      <c r="A133" s="801">
        <v>0</v>
      </c>
      <c r="B133" s="801" t="s">
        <v>861</v>
      </c>
      <c r="C133" s="1256"/>
      <c r="D133" s="1253"/>
      <c r="E133" s="37"/>
      <c r="F133" s="175" t="s">
        <v>116</v>
      </c>
      <c r="G133" s="258" t="e">
        <f>G132/VLOOKUP(C132,#REF!,7,0)</f>
        <v>#REF!</v>
      </c>
      <c r="H133" s="258"/>
      <c r="I133" s="1221"/>
      <c r="J133" s="258" t="e">
        <f>J132/VLOOKUP($C132,#REF!,7,0)</f>
        <v>#REF!</v>
      </c>
      <c r="K133" s="1191"/>
      <c r="L133" s="766"/>
      <c r="M133" s="1185"/>
      <c r="N133" s="37"/>
      <c r="O133" s="175" t="s">
        <v>116</v>
      </c>
      <c r="P133" s="412" t="e">
        <f t="shared" si="8"/>
        <v>#REF!</v>
      </c>
      <c r="Q133" s="277"/>
      <c r="R133" s="766"/>
      <c r="S133" s="37"/>
      <c r="T133" s="175" t="s">
        <v>116</v>
      </c>
      <c r="U133" s="258" t="e">
        <f>U132/VLOOKUP(C132,#REF!,7,0)</f>
        <v>#REF!</v>
      </c>
      <c r="V133" s="1196"/>
      <c r="W133" s="814"/>
      <c r="X133" s="766" t="s">
        <v>1187</v>
      </c>
      <c r="Y133" s="766"/>
      <c r="AA133" s="787"/>
      <c r="AD133" s="33" t="str">
        <f t="shared" ref="AD133" si="16">C132&amp;F133</f>
        <v>North MacedoniaUSD bn</v>
      </c>
    </row>
    <row r="134" spans="1:30" ht="90" customHeight="1">
      <c r="A134" s="801"/>
      <c r="B134" s="801"/>
      <c r="C134" s="1257"/>
      <c r="D134" s="1254"/>
      <c r="E134" s="12"/>
      <c r="F134" s="53" t="s">
        <v>117</v>
      </c>
      <c r="G134" s="252" t="e">
        <f>(G132/VLOOKUP(C132,#REF!,4,0))*100</f>
        <v>#REF!</v>
      </c>
      <c r="H134" s="252"/>
      <c r="I134" s="1222"/>
      <c r="J134" s="252" t="e">
        <f>J132/VLOOKUP($C132,#REF!,4,0)*100</f>
        <v>#REF!</v>
      </c>
      <c r="K134" s="1192"/>
      <c r="L134" s="767"/>
      <c r="M134" s="1186"/>
      <c r="N134" s="12"/>
      <c r="O134" s="53" t="s">
        <v>117</v>
      </c>
      <c r="P134" s="499" t="e">
        <f t="shared" si="8"/>
        <v>#REF!</v>
      </c>
      <c r="Q134" s="267"/>
      <c r="R134" s="804"/>
      <c r="S134" s="12"/>
      <c r="T134" s="53" t="s">
        <v>117</v>
      </c>
      <c r="U134" s="252" t="e">
        <f>(U132/VLOOKUP(C132,#REF!,4,0))*100</f>
        <v>#REF!</v>
      </c>
      <c r="V134" s="1197"/>
      <c r="W134" s="815"/>
      <c r="X134" s="767"/>
      <c r="Y134" s="766"/>
      <c r="AA134" s="787"/>
      <c r="AD134" s="33" t="str">
        <f t="shared" ref="AD134" si="17">C132&amp;F134</f>
        <v>North Macedonia% GDP</v>
      </c>
    </row>
    <row r="135" spans="1:30" ht="82.5" customHeight="1">
      <c r="A135" s="1268">
        <v>0</v>
      </c>
      <c r="B135" s="1268" t="s">
        <v>861</v>
      </c>
      <c r="C135" s="1282" t="s">
        <v>554</v>
      </c>
      <c r="D135" s="1266" t="s">
        <v>571</v>
      </c>
      <c r="E135" s="509"/>
      <c r="F135" s="505" t="s">
        <v>115</v>
      </c>
      <c r="G135" s="510">
        <f>H135+J135</f>
        <v>828</v>
      </c>
      <c r="H135" s="510">
        <v>178</v>
      </c>
      <c r="I135" s="1184" t="s">
        <v>725</v>
      </c>
      <c r="J135" s="250">
        <f>600+50</f>
        <v>650</v>
      </c>
      <c r="K135" s="1184" t="s">
        <v>726</v>
      </c>
      <c r="L135" s="250">
        <v>480</v>
      </c>
      <c r="M135" s="1184" t="s">
        <v>727</v>
      </c>
      <c r="N135" s="35"/>
      <c r="O135" s="505" t="s">
        <v>115</v>
      </c>
      <c r="P135" s="784" t="s">
        <v>84</v>
      </c>
      <c r="Q135" s="269"/>
      <c r="R135" s="766"/>
      <c r="S135" s="35"/>
      <c r="T135" s="505" t="s">
        <v>115</v>
      </c>
      <c r="U135" s="258"/>
      <c r="V135" s="766"/>
      <c r="W135" s="766" t="s">
        <v>84</v>
      </c>
      <c r="X135" s="1202" t="s">
        <v>728</v>
      </c>
      <c r="Y135" s="766"/>
      <c r="AA135" s="787"/>
      <c r="AD135" s="33" t="str">
        <f>C135&amp;F135</f>
        <v>PakistanLC bn</v>
      </c>
    </row>
    <row r="136" spans="1:30" ht="96.65" customHeight="1">
      <c r="A136" s="1268"/>
      <c r="B136" s="1268"/>
      <c r="C136" s="1282"/>
      <c r="D136" s="1266"/>
      <c r="E136" s="509"/>
      <c r="F136" s="506" t="s">
        <v>116</v>
      </c>
      <c r="G136" s="258" t="e">
        <f>G135/VLOOKUP($C135,#REF!,7,0)</f>
        <v>#REF!</v>
      </c>
      <c r="H136" s="258" t="e">
        <f>H135/VLOOKUP($C135,#REF!,7,0)</f>
        <v>#REF!</v>
      </c>
      <c r="I136" s="1219"/>
      <c r="J136" s="258" t="e">
        <f>J135/VLOOKUP($C135,#REF!,7,0)</f>
        <v>#REF!</v>
      </c>
      <c r="K136" s="1219"/>
      <c r="L136" s="258" t="e">
        <f>L135/VLOOKUP($C135,#REF!,7,0)</f>
        <v>#REF!</v>
      </c>
      <c r="M136" s="1219"/>
      <c r="N136" s="35"/>
      <c r="O136" s="506" t="s">
        <v>116</v>
      </c>
      <c r="P136" s="412"/>
      <c r="Q136" s="258"/>
      <c r="R136" s="766"/>
      <c r="S136" s="35"/>
      <c r="T136" s="506" t="s">
        <v>116</v>
      </c>
      <c r="U136" s="258"/>
      <c r="V136" s="766"/>
      <c r="W136" s="766"/>
      <c r="X136" s="1308"/>
      <c r="Y136" s="766"/>
      <c r="AA136" s="787"/>
      <c r="AD136" s="33" t="str">
        <f>C135&amp;F136</f>
        <v>PakistanUSD bn</v>
      </c>
    </row>
    <row r="137" spans="1:30" ht="92.5" customHeight="1">
      <c r="A137" s="1268"/>
      <c r="B137" s="1268"/>
      <c r="C137" s="1283"/>
      <c r="D137" s="1261"/>
      <c r="E137" s="509"/>
      <c r="F137" s="508" t="s">
        <v>117</v>
      </c>
      <c r="G137" s="252" t="e">
        <f>(G135/VLOOKUP($C135,#REF!,4,0))*100</f>
        <v>#REF!</v>
      </c>
      <c r="H137" s="252" t="e">
        <f>(H135/VLOOKUP($C135,#REF!,4,0))*100</f>
        <v>#REF!</v>
      </c>
      <c r="I137" s="1186"/>
      <c r="J137" s="252" t="e">
        <f>(J135/VLOOKUP($C135,#REF!,4,0))*100</f>
        <v>#REF!</v>
      </c>
      <c r="K137" s="1186"/>
      <c r="L137" s="252" t="e">
        <f>(L135/VLOOKUP($C135,#REF!,4,0))*100</f>
        <v>#REF!</v>
      </c>
      <c r="M137" s="1186"/>
      <c r="N137" s="12"/>
      <c r="O137" s="508" t="s">
        <v>117</v>
      </c>
      <c r="P137" s="499"/>
      <c r="Q137" s="252"/>
      <c r="R137" s="767"/>
      <c r="S137" s="12"/>
      <c r="T137" s="508" t="s">
        <v>117</v>
      </c>
      <c r="U137" s="252"/>
      <c r="V137" s="767"/>
      <c r="W137" s="767"/>
      <c r="X137" s="1204"/>
      <c r="Y137" s="766"/>
      <c r="AA137" s="787"/>
      <c r="AD137" s="33" t="str">
        <f>C135&amp;F137</f>
        <v>Pakistan% GDP</v>
      </c>
    </row>
    <row r="138" spans="1:30" ht="42.65" customHeight="1">
      <c r="A138" s="1268">
        <v>0</v>
      </c>
      <c r="B138" s="1268" t="s">
        <v>861</v>
      </c>
      <c r="C138" s="1256" t="s">
        <v>555</v>
      </c>
      <c r="D138" s="1266" t="s">
        <v>570</v>
      </c>
      <c r="E138" s="509"/>
      <c r="F138" s="505" t="s">
        <v>115</v>
      </c>
      <c r="G138" s="510">
        <v>55</v>
      </c>
      <c r="H138" s="502">
        <f>3+0.033</f>
        <v>3.0329999999999999</v>
      </c>
      <c r="I138" s="1193" t="s">
        <v>641</v>
      </c>
      <c r="J138" s="510">
        <v>42</v>
      </c>
      <c r="K138" s="1193" t="s">
        <v>1200</v>
      </c>
      <c r="L138" s="510">
        <v>13.6</v>
      </c>
      <c r="M138" s="1193" t="s">
        <v>585</v>
      </c>
      <c r="N138" s="509"/>
      <c r="O138" s="505" t="s">
        <v>115</v>
      </c>
      <c r="P138" s="744">
        <f t="shared" si="8"/>
        <v>62.8</v>
      </c>
      <c r="Q138" s="258"/>
      <c r="R138" s="774"/>
      <c r="S138" s="509"/>
      <c r="T138" s="505" t="s">
        <v>115</v>
      </c>
      <c r="U138" s="510">
        <v>62.8</v>
      </c>
      <c r="V138" s="1193" t="s">
        <v>1201</v>
      </c>
      <c r="W138" s="502"/>
      <c r="X138" s="1241"/>
      <c r="Y138" s="766"/>
      <c r="AA138" s="787"/>
      <c r="AD138" s="33" t="str">
        <f>C138&amp;F138</f>
        <v>PeruLC bn</v>
      </c>
    </row>
    <row r="139" spans="1:30" ht="37" customHeight="1">
      <c r="A139" s="1268"/>
      <c r="B139" s="1268"/>
      <c r="C139" s="1256"/>
      <c r="D139" s="1266"/>
      <c r="E139" s="509"/>
      <c r="F139" s="506" t="s">
        <v>116</v>
      </c>
      <c r="G139" s="251" t="e">
        <f>G138/VLOOKUP($C138,#REF!,7,0)</f>
        <v>#REF!</v>
      </c>
      <c r="H139" s="258" t="e">
        <f>H138/VLOOKUP($C138,#REF!,7,0)</f>
        <v>#REF!</v>
      </c>
      <c r="I139" s="1216"/>
      <c r="J139" s="251" t="e">
        <f>J138/VLOOKUP($C138,#REF!,7,0)</f>
        <v>#REF!</v>
      </c>
      <c r="K139" s="1216"/>
      <c r="L139" s="258" t="e">
        <f>L138/VLOOKUP($C138,#REF!,7,0)</f>
        <v>#REF!</v>
      </c>
      <c r="M139" s="1216"/>
      <c r="N139" s="509"/>
      <c r="O139" s="506" t="s">
        <v>116</v>
      </c>
      <c r="P139" s="745" t="e">
        <f t="shared" si="8"/>
        <v>#REF!</v>
      </c>
      <c r="Q139" s="258"/>
      <c r="R139" s="774"/>
      <c r="S139" s="509"/>
      <c r="T139" s="506" t="s">
        <v>116</v>
      </c>
      <c r="U139" s="251" t="e">
        <f>U138/VLOOKUP($C138,#REF!,7,0)</f>
        <v>#REF!</v>
      </c>
      <c r="V139" s="1216"/>
      <c r="W139" s="774"/>
      <c r="X139" s="1284"/>
      <c r="Y139" s="766"/>
      <c r="AA139" s="787"/>
      <c r="AD139" s="33" t="str">
        <f>C138&amp;F139</f>
        <v>PeruUSD bn</v>
      </c>
    </row>
    <row r="140" spans="1:30" ht="44.5" customHeight="1">
      <c r="A140" s="1268"/>
      <c r="B140" s="1268"/>
      <c r="C140" s="1257"/>
      <c r="D140" s="1261"/>
      <c r="E140" s="509"/>
      <c r="F140" s="508" t="s">
        <v>117</v>
      </c>
      <c r="G140" s="252" t="e">
        <f>(G138/VLOOKUP($C138,#REF!,4,0))*100</f>
        <v>#REF!</v>
      </c>
      <c r="H140" s="252" t="e">
        <f>(H138/VLOOKUP($C138,#REF!,4,0))*100</f>
        <v>#REF!</v>
      </c>
      <c r="I140" s="1197"/>
      <c r="J140" s="252" t="e">
        <f>(J138/VLOOKUP($C138,#REF!,4,0))*100</f>
        <v>#REF!</v>
      </c>
      <c r="K140" s="1197"/>
      <c r="L140" s="252" t="e">
        <f>(L138/VLOOKUP($C138,#REF!,4,0))*100</f>
        <v>#REF!</v>
      </c>
      <c r="M140" s="1197"/>
      <c r="N140" s="507"/>
      <c r="O140" s="508" t="s">
        <v>117</v>
      </c>
      <c r="P140" s="746" t="e">
        <f t="shared" si="8"/>
        <v>#REF!</v>
      </c>
      <c r="Q140" s="252"/>
      <c r="R140" s="775"/>
      <c r="S140" s="507"/>
      <c r="T140" s="508" t="s">
        <v>117</v>
      </c>
      <c r="U140" s="252" t="e">
        <f>(U138/VLOOKUP($C138,#REF!,4,0))*100</f>
        <v>#REF!</v>
      </c>
      <c r="V140" s="1197"/>
      <c r="W140" s="775"/>
      <c r="X140" s="1243"/>
      <c r="Y140" s="766"/>
      <c r="AA140" s="787"/>
      <c r="AD140" s="33" t="str">
        <f>C138&amp;F140</f>
        <v>Peru% GDP</v>
      </c>
    </row>
    <row r="141" spans="1:30" ht="40" customHeight="1">
      <c r="A141" s="1268">
        <v>0</v>
      </c>
      <c r="B141" s="1268" t="s">
        <v>861</v>
      </c>
      <c r="C141" s="1256" t="s">
        <v>556</v>
      </c>
      <c r="D141" s="1266" t="s">
        <v>571</v>
      </c>
      <c r="E141" s="509"/>
      <c r="F141" s="505" t="s">
        <v>115</v>
      </c>
      <c r="G141" s="510">
        <v>421.9</v>
      </c>
      <c r="H141" s="510">
        <v>64.099999999999994</v>
      </c>
      <c r="I141" s="1193" t="s">
        <v>790</v>
      </c>
      <c r="J141" s="510">
        <f>315.8+42</f>
        <v>357.8</v>
      </c>
      <c r="K141" s="1193" t="s">
        <v>743</v>
      </c>
      <c r="L141" s="502"/>
      <c r="M141" s="766"/>
      <c r="N141" s="35"/>
      <c r="O141" s="505" t="s">
        <v>115</v>
      </c>
      <c r="P141" s="496">
        <f t="shared" si="8"/>
        <v>193.8</v>
      </c>
      <c r="Q141" s="502">
        <f>2.8+70</f>
        <v>72.8</v>
      </c>
      <c r="R141" s="1193" t="s">
        <v>810</v>
      </c>
      <c r="S141" s="35"/>
      <c r="T141" s="505" t="s">
        <v>115</v>
      </c>
      <c r="U141" s="510">
        <v>120</v>
      </c>
      <c r="V141" s="1193" t="s">
        <v>579</v>
      </c>
      <c r="W141" s="502">
        <v>1</v>
      </c>
      <c r="X141" s="1193" t="s">
        <v>580</v>
      </c>
      <c r="Y141" s="766"/>
      <c r="AA141" s="787"/>
      <c r="AD141" s="33" t="str">
        <f>C141&amp;F141</f>
        <v>PhilippinesLC bn</v>
      </c>
    </row>
    <row r="142" spans="1:30" ht="40" customHeight="1">
      <c r="A142" s="1268"/>
      <c r="B142" s="1268"/>
      <c r="C142" s="1256"/>
      <c r="D142" s="1266"/>
      <c r="E142" s="509"/>
      <c r="F142" s="506" t="s">
        <v>116</v>
      </c>
      <c r="G142" s="258" t="e">
        <f>G141/VLOOKUP($C141,#REF!,7,0)</f>
        <v>#REF!</v>
      </c>
      <c r="H142" s="258" t="e">
        <f>H141/VLOOKUP($C141,#REF!,7,0)</f>
        <v>#REF!</v>
      </c>
      <c r="I142" s="1216"/>
      <c r="J142" s="258" t="e">
        <f>J141/VLOOKUP($C141,#REF!,7,0)</f>
        <v>#REF!</v>
      </c>
      <c r="K142" s="1216"/>
      <c r="L142" s="258"/>
      <c r="M142" s="766"/>
      <c r="N142" s="35"/>
      <c r="O142" s="506" t="s">
        <v>116</v>
      </c>
      <c r="P142" s="412" t="e">
        <f t="shared" si="8"/>
        <v>#REF!</v>
      </c>
      <c r="Q142" s="258" t="e">
        <f>Q141/VLOOKUP($C141,#REF!,7,0)</f>
        <v>#REF!</v>
      </c>
      <c r="R142" s="1216"/>
      <c r="S142" s="35"/>
      <c r="T142" s="506" t="s">
        <v>116</v>
      </c>
      <c r="U142" s="258" t="e">
        <f>U141/VLOOKUP($C141,#REF!,7,0)</f>
        <v>#REF!</v>
      </c>
      <c r="V142" s="1216"/>
      <c r="W142" s="258" t="e">
        <f>W141/VLOOKUP($C141,#REF!,7,0)</f>
        <v>#REF!</v>
      </c>
      <c r="X142" s="1216"/>
      <c r="Y142" s="766"/>
      <c r="AA142" s="787"/>
      <c r="AD142" s="33" t="str">
        <f>C141&amp;F142</f>
        <v>PhilippinesUSD bn</v>
      </c>
    </row>
    <row r="143" spans="1:30" ht="40" customHeight="1">
      <c r="A143" s="1268"/>
      <c r="B143" s="1268"/>
      <c r="C143" s="1257"/>
      <c r="D143" s="1261"/>
      <c r="E143" s="509"/>
      <c r="F143" s="508" t="s">
        <v>117</v>
      </c>
      <c r="G143" s="252" t="e">
        <f>(G141/VLOOKUP($C141,#REF!,4,0))*100</f>
        <v>#REF!</v>
      </c>
      <c r="H143" s="252" t="e">
        <f>(H141/VLOOKUP($C141,#REF!,4,0))*100</f>
        <v>#REF!</v>
      </c>
      <c r="I143" s="1197"/>
      <c r="J143" s="252" t="e">
        <f>(J141/VLOOKUP($C141,#REF!,4,0))*100</f>
        <v>#REF!</v>
      </c>
      <c r="K143" s="1197"/>
      <c r="L143" s="252"/>
      <c r="M143" s="766"/>
      <c r="N143" s="35"/>
      <c r="O143" s="508" t="s">
        <v>117</v>
      </c>
      <c r="P143" s="499" t="e">
        <f t="shared" si="8"/>
        <v>#REF!</v>
      </c>
      <c r="Q143" s="252" t="e">
        <f>(Q141/VLOOKUP($C141,#REF!,4,0))*100</f>
        <v>#REF!</v>
      </c>
      <c r="R143" s="1197"/>
      <c r="S143" s="35"/>
      <c r="T143" s="508" t="s">
        <v>117</v>
      </c>
      <c r="U143" s="252" t="e">
        <f>(U141/VLOOKUP($C141,#REF!,4,0))*100</f>
        <v>#REF!</v>
      </c>
      <c r="V143" s="1197"/>
      <c r="W143" s="252" t="e">
        <f>(W141/VLOOKUP($C141,#REF!,4,0))*100</f>
        <v>#REF!</v>
      </c>
      <c r="X143" s="1197"/>
      <c r="Y143" s="766"/>
      <c r="AA143" s="787"/>
      <c r="AD143" s="33" t="str">
        <f>C141&amp;F143</f>
        <v>Philippines% GDP</v>
      </c>
    </row>
    <row r="144" spans="1:30" s="796" customFormat="1" ht="60" customHeight="1">
      <c r="A144" s="1268">
        <v>0</v>
      </c>
      <c r="B144" s="1268" t="s">
        <v>861</v>
      </c>
      <c r="C144" s="1256" t="s">
        <v>22</v>
      </c>
      <c r="D144" s="1252" t="s">
        <v>570</v>
      </c>
      <c r="E144" s="795"/>
      <c r="F144" s="38" t="s">
        <v>115</v>
      </c>
      <c r="G144" s="255">
        <f>H144+J144</f>
        <v>165.9</v>
      </c>
      <c r="H144" s="784">
        <v>8.5</v>
      </c>
      <c r="I144" s="1184" t="s">
        <v>643</v>
      </c>
      <c r="J144" s="177">
        <f>95.5+61.9</f>
        <v>157.4</v>
      </c>
      <c r="K144" s="1184" t="s">
        <v>817</v>
      </c>
      <c r="L144" s="776" t="s">
        <v>84</v>
      </c>
      <c r="M144" s="1184" t="s">
        <v>656</v>
      </c>
      <c r="N144" s="795"/>
      <c r="O144" s="175" t="s">
        <v>115</v>
      </c>
      <c r="P144" s="496">
        <f t="shared" si="8"/>
        <v>112.1</v>
      </c>
      <c r="Q144" s="276"/>
      <c r="R144" s="1184"/>
      <c r="S144" s="795"/>
      <c r="T144" s="554" t="s">
        <v>115</v>
      </c>
      <c r="U144" s="117">
        <f>74</f>
        <v>74</v>
      </c>
      <c r="V144" s="1184" t="s">
        <v>622</v>
      </c>
      <c r="W144" s="117">
        <f>100-61.9</f>
        <v>38.1</v>
      </c>
      <c r="X144" s="1184" t="s">
        <v>779</v>
      </c>
      <c r="Y144" s="199" t="s">
        <v>189</v>
      </c>
      <c r="Z144" s="795"/>
      <c r="AA144" s="198" t="s">
        <v>188</v>
      </c>
      <c r="AD144" s="33" t="str">
        <f>C144&amp;F144</f>
        <v>PolandLC bn</v>
      </c>
    </row>
    <row r="145" spans="1:30" s="796" customFormat="1" ht="60" customHeight="1">
      <c r="A145" s="1268"/>
      <c r="B145" s="1268"/>
      <c r="C145" s="1256"/>
      <c r="D145" s="1253"/>
      <c r="F145" s="175" t="s">
        <v>116</v>
      </c>
      <c r="G145" s="251" t="e">
        <f>G144/VLOOKUP(C144,#REF!,7,0)</f>
        <v>#REF!</v>
      </c>
      <c r="H145" s="258" t="e">
        <f>H144/VLOOKUP($C144,#REF!,7,0)</f>
        <v>#REF!</v>
      </c>
      <c r="I145" s="1185"/>
      <c r="J145" s="251" t="e">
        <f>J144/VLOOKUP($C144,#REF!,7,0)</f>
        <v>#REF!</v>
      </c>
      <c r="K145" s="1219"/>
      <c r="L145" s="766"/>
      <c r="M145" s="1185"/>
      <c r="O145" s="175" t="s">
        <v>116</v>
      </c>
      <c r="P145" s="497" t="e">
        <f t="shared" si="8"/>
        <v>#REF!</v>
      </c>
      <c r="Q145" s="277"/>
      <c r="R145" s="1185"/>
      <c r="T145" s="175" t="s">
        <v>116</v>
      </c>
      <c r="U145" s="285" t="e">
        <f>U144/VLOOKUP(C144,#REF!,7,0)</f>
        <v>#REF!</v>
      </c>
      <c r="V145" s="1185"/>
      <c r="W145" s="251" t="e">
        <f>W144/VLOOKUP($C144,#REF!,7,0)</f>
        <v>#REF!</v>
      </c>
      <c r="X145" s="1219"/>
      <c r="Y145" s="766"/>
      <c r="AA145" s="766"/>
      <c r="AD145" s="33" t="str">
        <f>C144&amp;F145</f>
        <v>PolandUSD bn</v>
      </c>
    </row>
    <row r="146" spans="1:30" ht="81.650000000000006" customHeight="1">
      <c r="A146" s="1268"/>
      <c r="B146" s="1268"/>
      <c r="C146" s="1257"/>
      <c r="D146" s="1254"/>
      <c r="E146" s="12"/>
      <c r="F146" s="53" t="s">
        <v>117</v>
      </c>
      <c r="G146" s="252" t="e">
        <f>(G144/VLOOKUP(C144,#REF!,4,0))*100</f>
        <v>#REF!</v>
      </c>
      <c r="H146" s="252" t="e">
        <f>(H144/VLOOKUP($C144,#REF!,4,0))*100</f>
        <v>#REF!</v>
      </c>
      <c r="I146" s="1186"/>
      <c r="J146" s="252" t="e">
        <f>(J144/VLOOKUP($C144,#REF!,4,0))*100</f>
        <v>#REF!</v>
      </c>
      <c r="K146" s="1186"/>
      <c r="L146" s="767"/>
      <c r="M146" s="1186"/>
      <c r="N146" s="12"/>
      <c r="O146" s="53" t="s">
        <v>117</v>
      </c>
      <c r="P146" s="499" t="e">
        <f t="shared" si="8"/>
        <v>#REF!</v>
      </c>
      <c r="Q146" s="267"/>
      <c r="R146" s="1186"/>
      <c r="S146" s="12"/>
      <c r="T146" s="53" t="s">
        <v>117</v>
      </c>
      <c r="U146" s="78" t="e">
        <f>(U144/VLOOKUP(C144,#REF!,4,0))*100</f>
        <v>#REF!</v>
      </c>
      <c r="V146" s="1186"/>
      <c r="W146" s="252" t="e">
        <f>(W144/VLOOKUP($C144,#REF!,4,0))*100</f>
        <v>#REF!</v>
      </c>
      <c r="X146" s="1186"/>
      <c r="Y146" s="767"/>
      <c r="Z146" s="52"/>
      <c r="AA146" s="788"/>
      <c r="AD146" s="33" t="str">
        <f>C144&amp;F146</f>
        <v>Poland% GDP</v>
      </c>
    </row>
    <row r="147" spans="1:30" ht="60" customHeight="1">
      <c r="A147" s="1268">
        <v>0</v>
      </c>
      <c r="B147" s="1268" t="s">
        <v>861</v>
      </c>
      <c r="C147" s="1256" t="s">
        <v>557</v>
      </c>
      <c r="D147" s="1252" t="s">
        <v>571</v>
      </c>
      <c r="E147" s="35"/>
      <c r="F147" s="38" t="s">
        <v>115</v>
      </c>
      <c r="G147" s="251">
        <v>16.7</v>
      </c>
      <c r="H147" s="769">
        <v>6.4</v>
      </c>
      <c r="I147" s="1184" t="s">
        <v>744</v>
      </c>
      <c r="J147" s="118">
        <f>G147-H147</f>
        <v>10.299999999999999</v>
      </c>
      <c r="K147" s="1184" t="s">
        <v>1137</v>
      </c>
      <c r="L147" s="777"/>
      <c r="M147" s="1190" t="s">
        <v>746</v>
      </c>
      <c r="N147" s="35"/>
      <c r="O147" s="175" t="s">
        <v>115</v>
      </c>
      <c r="P147" s="496">
        <f t="shared" si="8"/>
        <v>18.2</v>
      </c>
      <c r="Q147" s="269">
        <v>1.7</v>
      </c>
      <c r="R147" s="1184" t="s">
        <v>1138</v>
      </c>
      <c r="S147" s="35"/>
      <c r="T147" s="175" t="s">
        <v>115</v>
      </c>
      <c r="U147" s="285">
        <v>16.5</v>
      </c>
      <c r="V147" s="1202" t="s">
        <v>1139</v>
      </c>
      <c r="W147" s="766"/>
      <c r="X147" s="766"/>
      <c r="Y147" s="766"/>
      <c r="AA147" s="787"/>
      <c r="AD147" s="33" t="str">
        <f>C147&amp;F147</f>
        <v>RomaniaLC bn</v>
      </c>
    </row>
    <row r="148" spans="1:30" ht="80.150000000000006" customHeight="1">
      <c r="A148" s="1268"/>
      <c r="B148" s="1268"/>
      <c r="C148" s="1256"/>
      <c r="D148" s="1253"/>
      <c r="E148" s="35"/>
      <c r="F148" s="175" t="s">
        <v>116</v>
      </c>
      <c r="G148" s="258" t="e">
        <f>G147/VLOOKUP($C147,#REF!,7,0)</f>
        <v>#REF!</v>
      </c>
      <c r="H148" s="258" t="e">
        <f>H147/VLOOKUP($C147,#REF!,7,0)</f>
        <v>#REF!</v>
      </c>
      <c r="I148" s="1219"/>
      <c r="J148" s="258" t="e">
        <f>J147/VLOOKUP($C147,#REF!,7,0)</f>
        <v>#REF!</v>
      </c>
      <c r="K148" s="1219"/>
      <c r="L148" s="258"/>
      <c r="M148" s="1238"/>
      <c r="N148" s="35"/>
      <c r="O148" s="175" t="s">
        <v>116</v>
      </c>
      <c r="P148" s="412" t="e">
        <f t="shared" si="8"/>
        <v>#REF!</v>
      </c>
      <c r="Q148" s="258" t="e">
        <f>Q147/VLOOKUP($C147,#REF!,7,0)</f>
        <v>#REF!</v>
      </c>
      <c r="R148" s="1219"/>
      <c r="S148" s="35"/>
      <c r="T148" s="175" t="s">
        <v>116</v>
      </c>
      <c r="U148" s="258" t="e">
        <f>U147/VLOOKUP($C147,#REF!,7,0)</f>
        <v>#REF!</v>
      </c>
      <c r="V148" s="1219"/>
      <c r="W148" s="766"/>
      <c r="X148" s="766"/>
      <c r="Y148" s="766"/>
      <c r="AA148" s="787"/>
      <c r="AD148" s="33" t="str">
        <f>C147&amp;F148</f>
        <v>RomaniaUSD bn</v>
      </c>
    </row>
    <row r="149" spans="1:30" ht="126.65" customHeight="1">
      <c r="A149" s="1268"/>
      <c r="B149" s="1268"/>
      <c r="C149" s="1257"/>
      <c r="D149" s="1254"/>
      <c r="E149" s="35"/>
      <c r="F149" s="53" t="s">
        <v>117</v>
      </c>
      <c r="G149" s="252" t="e">
        <f>(G147/VLOOKUP($C147,#REF!,4,0))*100</f>
        <v>#REF!</v>
      </c>
      <c r="H149" s="252" t="e">
        <f>(H147/VLOOKUP($C147,#REF!,4,0))*100</f>
        <v>#REF!</v>
      </c>
      <c r="I149" s="1186"/>
      <c r="J149" s="252" t="e">
        <f>(J147/VLOOKUP($C147,#REF!,4,0))*100</f>
        <v>#REF!</v>
      </c>
      <c r="K149" s="1186"/>
      <c r="L149" s="252"/>
      <c r="M149" s="1192"/>
      <c r="N149" s="12"/>
      <c r="O149" s="53" t="s">
        <v>117</v>
      </c>
      <c r="P149" s="499" t="e">
        <f t="shared" si="8"/>
        <v>#REF!</v>
      </c>
      <c r="Q149" s="252" t="e">
        <f>(Q147/VLOOKUP($C147,#REF!,4,0))*100</f>
        <v>#REF!</v>
      </c>
      <c r="R149" s="1186"/>
      <c r="S149" s="12"/>
      <c r="T149" s="53" t="s">
        <v>117</v>
      </c>
      <c r="U149" s="252" t="e">
        <f>(U147/VLOOKUP($C147,#REF!,4,0))*100</f>
        <v>#REF!</v>
      </c>
      <c r="V149" s="1186"/>
      <c r="W149" s="767"/>
      <c r="X149" s="767"/>
      <c r="Y149" s="766"/>
      <c r="AA149" s="787"/>
      <c r="AD149" s="33" t="str">
        <f>C147&amp;F149</f>
        <v>Romania% GDP</v>
      </c>
    </row>
    <row r="150" spans="1:30" ht="90" customHeight="1">
      <c r="A150" s="801"/>
      <c r="B150" s="801"/>
      <c r="C150" s="1255" t="s">
        <v>953</v>
      </c>
      <c r="D150" s="1252" t="s">
        <v>570</v>
      </c>
      <c r="E150" s="37"/>
      <c r="F150" s="175" t="s">
        <v>115</v>
      </c>
      <c r="G150" s="257">
        <v>317</v>
      </c>
      <c r="H150" s="776">
        <v>317</v>
      </c>
      <c r="I150" s="1220" t="s">
        <v>1181</v>
      </c>
      <c r="J150" s="118">
        <v>16.5</v>
      </c>
      <c r="K150" s="1190" t="s">
        <v>1182</v>
      </c>
      <c r="L150" s="766"/>
      <c r="M150" s="1184"/>
      <c r="N150" s="37"/>
      <c r="O150" s="175" t="s">
        <v>115</v>
      </c>
      <c r="P150" s="496">
        <f t="shared" si="8"/>
        <v>56.5</v>
      </c>
      <c r="Q150" s="277"/>
      <c r="R150" s="766"/>
      <c r="S150" s="37"/>
      <c r="T150" s="175" t="s">
        <v>115</v>
      </c>
      <c r="U150" s="257">
        <v>56.5</v>
      </c>
      <c r="V150" s="1193" t="s">
        <v>1183</v>
      </c>
      <c r="W150" s="766"/>
      <c r="X150" s="766"/>
      <c r="Y150" s="766"/>
      <c r="AA150" s="787"/>
      <c r="AD150" s="33" t="str">
        <f t="shared" ref="AD150" si="18">C150&amp;F150</f>
        <v>SerbiaLC bn</v>
      </c>
    </row>
    <row r="151" spans="1:30" ht="90" customHeight="1">
      <c r="A151" s="801">
        <v>0</v>
      </c>
      <c r="B151" s="801" t="s">
        <v>861</v>
      </c>
      <c r="C151" s="1256"/>
      <c r="D151" s="1253"/>
      <c r="E151" s="37"/>
      <c r="F151" s="175" t="s">
        <v>116</v>
      </c>
      <c r="G151" s="258" t="e">
        <f>G150/VLOOKUP(C150,#REF!,7,0)</f>
        <v>#REF!</v>
      </c>
      <c r="H151" s="258" t="e">
        <f>H150/VLOOKUP($C150,#REF!,7,0)</f>
        <v>#REF!</v>
      </c>
      <c r="I151" s="1221"/>
      <c r="J151" s="258" t="e">
        <f>J150/VLOOKUP($C150,#REF!,7,0)</f>
        <v>#REF!</v>
      </c>
      <c r="K151" s="1191"/>
      <c r="L151" s="766"/>
      <c r="M151" s="1185"/>
      <c r="N151" s="37"/>
      <c r="O151" s="175" t="s">
        <v>116</v>
      </c>
      <c r="P151" s="412" t="e">
        <f t="shared" si="8"/>
        <v>#REF!</v>
      </c>
      <c r="Q151" s="277"/>
      <c r="R151" s="766"/>
      <c r="S151" s="37"/>
      <c r="T151" s="175" t="s">
        <v>116</v>
      </c>
      <c r="U151" s="258" t="e">
        <f>U150/VLOOKUP(C150,#REF!,7,0)</f>
        <v>#REF!</v>
      </c>
      <c r="V151" s="1196"/>
      <c r="W151" s="766"/>
      <c r="X151" s="766"/>
      <c r="Y151" s="766"/>
      <c r="AA151" s="787"/>
      <c r="AD151" s="33" t="str">
        <f t="shared" ref="AD151" si="19">C150&amp;F151</f>
        <v>SerbiaUSD bn</v>
      </c>
    </row>
    <row r="152" spans="1:30" ht="90" customHeight="1">
      <c r="A152" s="801"/>
      <c r="B152" s="801"/>
      <c r="C152" s="1257"/>
      <c r="D152" s="1254"/>
      <c r="E152" s="12"/>
      <c r="F152" s="53" t="s">
        <v>117</v>
      </c>
      <c r="G152" s="252" t="e">
        <f>(G150/VLOOKUP(C150,#REF!,4,0))*100</f>
        <v>#REF!</v>
      </c>
      <c r="H152" s="252" t="e">
        <f>(H150/VLOOKUP($C150,#REF!,4,0))*100</f>
        <v>#REF!</v>
      </c>
      <c r="I152" s="1222"/>
      <c r="J152" s="252" t="e">
        <f>J150/VLOOKUP($C150,#REF!,4,0)*100</f>
        <v>#REF!</v>
      </c>
      <c r="K152" s="1192"/>
      <c r="L152" s="767"/>
      <c r="M152" s="1186"/>
      <c r="N152" s="12"/>
      <c r="O152" s="53" t="s">
        <v>117</v>
      </c>
      <c r="P152" s="499" t="e">
        <f t="shared" si="8"/>
        <v>#REF!</v>
      </c>
      <c r="Q152" s="267"/>
      <c r="R152" s="804"/>
      <c r="S152" s="12"/>
      <c r="T152" s="53" t="s">
        <v>117</v>
      </c>
      <c r="U152" s="252" t="e">
        <f>(U150/VLOOKUP(C150,#REF!,4,0))*100</f>
        <v>#REF!</v>
      </c>
      <c r="V152" s="1197"/>
      <c r="W152" s="767"/>
      <c r="X152" s="767"/>
      <c r="Y152" s="766"/>
      <c r="AA152" s="787"/>
      <c r="AD152" s="33" t="str">
        <f t="shared" ref="AD152" si="20">C150&amp;F152</f>
        <v>Serbia% GDP</v>
      </c>
    </row>
    <row r="153" spans="1:30" ht="133.5" customHeight="1">
      <c r="A153" s="1268">
        <v>0</v>
      </c>
      <c r="B153" s="1268" t="s">
        <v>861</v>
      </c>
      <c r="C153" s="1256" t="s">
        <v>559</v>
      </c>
      <c r="D153" s="1253" t="s">
        <v>572</v>
      </c>
      <c r="E153" s="35"/>
      <c r="F153" s="38" t="s">
        <v>115</v>
      </c>
      <c r="G153" s="186">
        <v>1277</v>
      </c>
      <c r="H153" s="258" t="s">
        <v>84</v>
      </c>
      <c r="I153" s="1184" t="s">
        <v>645</v>
      </c>
      <c r="J153" s="258" t="s">
        <v>84</v>
      </c>
      <c r="K153" s="1270" t="s">
        <v>999</v>
      </c>
      <c r="L153" s="258"/>
      <c r="M153" s="1184" t="s">
        <v>1000</v>
      </c>
      <c r="N153" s="35"/>
      <c r="O153" s="175" t="s">
        <v>115</v>
      </c>
      <c r="P153" s="496">
        <f t="shared" si="8"/>
        <v>665</v>
      </c>
      <c r="Q153" s="251">
        <v>90</v>
      </c>
      <c r="R153" s="1202" t="s">
        <v>736</v>
      </c>
      <c r="S153" s="35"/>
      <c r="T153" s="175" t="s">
        <v>115</v>
      </c>
      <c r="U153" s="251">
        <v>325</v>
      </c>
      <c r="V153" s="1184" t="s">
        <v>567</v>
      </c>
      <c r="W153" s="251">
        <v>250</v>
      </c>
      <c r="X153" s="1184" t="s">
        <v>1001</v>
      </c>
      <c r="Y153" s="766"/>
      <c r="AA153" s="787"/>
      <c r="AD153" s="33" t="str">
        <f t="shared" ref="AD153" si="21">C153&amp;F153</f>
        <v>ThailandLC bn</v>
      </c>
    </row>
    <row r="154" spans="1:30" ht="130" customHeight="1">
      <c r="A154" s="1268"/>
      <c r="B154" s="1268"/>
      <c r="C154" s="1256"/>
      <c r="D154" s="1253"/>
      <c r="E154" s="35"/>
      <c r="F154" s="175" t="s">
        <v>116</v>
      </c>
      <c r="G154" s="251" t="e">
        <f>G153/VLOOKUP($C153,#REF!,7,0)</f>
        <v>#REF!</v>
      </c>
      <c r="H154" s="258"/>
      <c r="I154" s="1219"/>
      <c r="J154" s="258"/>
      <c r="K154" s="1216"/>
      <c r="L154" s="258"/>
      <c r="M154" s="1185"/>
      <c r="N154" s="35"/>
      <c r="O154" s="175" t="s">
        <v>116</v>
      </c>
      <c r="P154" s="497" t="e">
        <f t="shared" si="8"/>
        <v>#REF!</v>
      </c>
      <c r="Q154" s="258" t="e">
        <f>Q153/VLOOKUP($C153,#REF!,7,0)</f>
        <v>#REF!</v>
      </c>
      <c r="R154" s="1203"/>
      <c r="S154" s="35"/>
      <c r="T154" s="175" t="s">
        <v>116</v>
      </c>
      <c r="U154" s="251" t="e">
        <f>U153/VLOOKUP($C153,#REF!,7,0)</f>
        <v>#REF!</v>
      </c>
      <c r="V154" s="1219"/>
      <c r="W154" s="258" t="e">
        <f>W153/VLOOKUP($C153,#REF!,7,0)</f>
        <v>#REF!</v>
      </c>
      <c r="X154" s="1185"/>
      <c r="Y154" s="766"/>
      <c r="AA154" s="787"/>
      <c r="AD154" s="33" t="str">
        <f t="shared" ref="AD154" si="22">C153&amp;F154</f>
        <v>ThailandUSD bn</v>
      </c>
    </row>
    <row r="155" spans="1:30" ht="229" customHeight="1">
      <c r="A155" s="1268"/>
      <c r="B155" s="1268"/>
      <c r="C155" s="1257"/>
      <c r="D155" s="1254"/>
      <c r="E155" s="35"/>
      <c r="F155" s="53" t="s">
        <v>117</v>
      </c>
      <c r="G155" s="252" t="e">
        <f>(G153/VLOOKUP($C153,#REF!,4,0))*100</f>
        <v>#REF!</v>
      </c>
      <c r="H155" s="252"/>
      <c r="I155" s="1186"/>
      <c r="J155" s="252"/>
      <c r="K155" s="1197"/>
      <c r="L155" s="252"/>
      <c r="M155" s="1186"/>
      <c r="N155" s="12"/>
      <c r="O155" s="53" t="s">
        <v>117</v>
      </c>
      <c r="P155" s="499" t="e">
        <f t="shared" si="8"/>
        <v>#REF!</v>
      </c>
      <c r="Q155" s="252" t="e">
        <f>(Q153/VLOOKUP($C153,#REF!,4,0))*100</f>
        <v>#REF!</v>
      </c>
      <c r="R155" s="1204"/>
      <c r="S155" s="12"/>
      <c r="T155" s="53" t="s">
        <v>117</v>
      </c>
      <c r="U155" s="252" t="e">
        <f>(U153/VLOOKUP($C153,#REF!,4,0))*100</f>
        <v>#REF!</v>
      </c>
      <c r="V155" s="1186"/>
      <c r="W155" s="252" t="e">
        <f>(W153/VLOOKUP($C153,#REF!,4,0))*100</f>
        <v>#REF!</v>
      </c>
      <c r="X155" s="1186"/>
      <c r="Y155" s="766"/>
      <c r="AA155" s="787"/>
      <c r="AD155" s="33" t="str">
        <f t="shared" ref="AD155" si="23">C153&amp;F155</f>
        <v>Thailand% GDP</v>
      </c>
    </row>
    <row r="156" spans="1:30" s="796" customFormat="1" ht="79.5" customHeight="1">
      <c r="A156" s="1268">
        <v>0</v>
      </c>
      <c r="B156" s="1268" t="s">
        <v>861</v>
      </c>
      <c r="C156" s="1282" t="s">
        <v>30</v>
      </c>
      <c r="D156" s="1266" t="s">
        <v>570</v>
      </c>
      <c r="E156" s="504"/>
      <c r="F156" s="505" t="s">
        <v>115</v>
      </c>
      <c r="G156" s="806">
        <f>H156+J156</f>
        <v>1.8650000000000002</v>
      </c>
      <c r="H156" s="806">
        <v>0.33</v>
      </c>
      <c r="I156" s="1193" t="s">
        <v>792</v>
      </c>
      <c r="J156" s="806">
        <f>1.705+0.03-0.2</f>
        <v>1.5350000000000001</v>
      </c>
      <c r="K156" s="1193" t="s">
        <v>1202</v>
      </c>
      <c r="L156" s="806">
        <f>0.545+0.01</f>
        <v>0.55500000000000005</v>
      </c>
      <c r="M156" s="1193" t="s">
        <v>794</v>
      </c>
      <c r="N156" s="795"/>
      <c r="O156" s="175" t="s">
        <v>115</v>
      </c>
      <c r="P156" s="498">
        <f t="shared" si="8"/>
        <v>1.3259999999999998</v>
      </c>
      <c r="Q156" s="276">
        <f>0.3+0.04+0.5+0.1+0.186</f>
        <v>1.1259999999999999</v>
      </c>
      <c r="R156" s="1324" t="s">
        <v>1203</v>
      </c>
      <c r="S156" s="747"/>
      <c r="T156" s="748" t="s">
        <v>115</v>
      </c>
      <c r="U156" s="749">
        <v>0.2</v>
      </c>
      <c r="V156" s="1324" t="s">
        <v>614</v>
      </c>
      <c r="W156" s="765"/>
      <c r="X156" s="765"/>
      <c r="Y156" s="1184" t="s">
        <v>83</v>
      </c>
      <c r="Z156" s="795"/>
      <c r="AA156" s="765"/>
      <c r="AD156" s="33" t="str">
        <f>C156&amp;F156</f>
        <v>TunisiaLC bn</v>
      </c>
    </row>
    <row r="157" spans="1:30" s="796" customFormat="1" ht="107.5" customHeight="1">
      <c r="A157" s="1268"/>
      <c r="B157" s="1268"/>
      <c r="C157" s="1282"/>
      <c r="D157" s="1266"/>
      <c r="E157" s="184"/>
      <c r="F157" s="506" t="s">
        <v>116</v>
      </c>
      <c r="G157" s="258" t="e">
        <f>G156/VLOOKUP(C156,#REF!,7,0)</f>
        <v>#REF!</v>
      </c>
      <c r="H157" s="258" t="e">
        <f>H156/VLOOKUP($C156,#REF!,7,0)</f>
        <v>#REF!</v>
      </c>
      <c r="I157" s="1196"/>
      <c r="J157" s="258" t="e">
        <f>J156/VLOOKUP($C156,#REF!,7,0)</f>
        <v>#REF!</v>
      </c>
      <c r="K157" s="1216"/>
      <c r="L157" s="258" t="e">
        <f>L156/VLOOKUP($C156,#REF!,7,0)</f>
        <v>#REF!</v>
      </c>
      <c r="M157" s="1216"/>
      <c r="O157" s="175" t="s">
        <v>116</v>
      </c>
      <c r="P157" s="412" t="e">
        <f t="shared" si="8"/>
        <v>#REF!</v>
      </c>
      <c r="Q157" s="269" t="e">
        <f>Q156/VLOOKUP(C156,#REF!,7,0)</f>
        <v>#REF!</v>
      </c>
      <c r="R157" s="1325"/>
      <c r="S157" s="750"/>
      <c r="T157" s="748" t="s">
        <v>116</v>
      </c>
      <c r="U157" s="279" t="e">
        <f>U156/VLOOKUP(C156,#REF!,7,0)</f>
        <v>#REF!</v>
      </c>
      <c r="V157" s="1290"/>
      <c r="W157" s="766"/>
      <c r="X157" s="766"/>
      <c r="Y157" s="1185"/>
      <c r="AA157" s="766"/>
      <c r="AD157" s="33" t="str">
        <f>C156&amp;F157</f>
        <v>TunisiaUSD bn</v>
      </c>
    </row>
    <row r="158" spans="1:30" ht="79.5" customHeight="1">
      <c r="A158" s="1268"/>
      <c r="B158" s="1268"/>
      <c r="C158" s="1283"/>
      <c r="D158" s="1261"/>
      <c r="E158" s="507"/>
      <c r="F158" s="508" t="s">
        <v>117</v>
      </c>
      <c r="G158" s="252" t="e">
        <f>(G156/VLOOKUP(C156,#REF!,4,0))*100</f>
        <v>#REF!</v>
      </c>
      <c r="H158" s="252" t="e">
        <f>(H156/VLOOKUP($C156,#REF!,4,0))*100</f>
        <v>#REF!</v>
      </c>
      <c r="I158" s="1197"/>
      <c r="J158" s="252" t="e">
        <f>(J156/VLOOKUP($C156,#REF!,4,0))*100</f>
        <v>#REF!</v>
      </c>
      <c r="K158" s="1197"/>
      <c r="L158" s="252" t="e">
        <f>(L156/VLOOKUP($C156,#REF!,4,0))*100</f>
        <v>#REF!</v>
      </c>
      <c r="M158" s="1197"/>
      <c r="N158" s="12"/>
      <c r="O158" s="53" t="s">
        <v>117</v>
      </c>
      <c r="P158" s="499" t="e">
        <f t="shared" si="8"/>
        <v>#REF!</v>
      </c>
      <c r="Q158" s="267" t="e">
        <f>(Q156/VLOOKUP(C156,#REF!,4,0))*100</f>
        <v>#REF!</v>
      </c>
      <c r="R158" s="1291"/>
      <c r="S158" s="751"/>
      <c r="T158" s="752" t="s">
        <v>117</v>
      </c>
      <c r="U158" s="273" t="e">
        <f>(U156/VLOOKUP(C156,#REF!,4,0))*100</f>
        <v>#REF!</v>
      </c>
      <c r="V158" s="1291"/>
      <c r="W158" s="767"/>
      <c r="X158" s="767"/>
      <c r="Y158" s="1186"/>
      <c r="Z158" s="52"/>
      <c r="AA158" s="788"/>
      <c r="AD158" s="33" t="str">
        <f>C156&amp;F158</f>
        <v>Tunisia% GDP</v>
      </c>
    </row>
    <row r="159" spans="1:30" s="796" customFormat="1" ht="60" customHeight="1">
      <c r="A159" s="1268">
        <v>0</v>
      </c>
      <c r="B159" s="1268" t="s">
        <v>861</v>
      </c>
      <c r="C159" s="1256" t="s">
        <v>56</v>
      </c>
      <c r="D159" s="1266" t="s">
        <v>570</v>
      </c>
      <c r="E159" s="795"/>
      <c r="F159" s="38" t="s">
        <v>115</v>
      </c>
      <c r="G159" s="255">
        <v>27</v>
      </c>
      <c r="H159" s="778" t="s">
        <v>84</v>
      </c>
      <c r="I159" s="1193" t="s">
        <v>646</v>
      </c>
      <c r="J159" s="258" t="s">
        <v>84</v>
      </c>
      <c r="K159" s="1193" t="s">
        <v>747</v>
      </c>
      <c r="L159" s="765"/>
      <c r="M159" s="765"/>
      <c r="N159" s="795"/>
      <c r="O159" s="175" t="s">
        <v>115</v>
      </c>
      <c r="P159" s="79" t="s">
        <v>84</v>
      </c>
      <c r="Q159" s="79" t="s">
        <v>84</v>
      </c>
      <c r="R159" s="1184" t="s">
        <v>308</v>
      </c>
      <c r="S159" s="795"/>
      <c r="T159" s="175" t="s">
        <v>115</v>
      </c>
      <c r="U159" s="79" t="s">
        <v>84</v>
      </c>
      <c r="V159" s="1184" t="s">
        <v>343</v>
      </c>
      <c r="W159" s="79" t="s">
        <v>84</v>
      </c>
      <c r="X159" s="1184" t="s">
        <v>750</v>
      </c>
      <c r="Y159" s="765"/>
      <c r="Z159" s="795"/>
      <c r="AA159" s="786" t="s">
        <v>51</v>
      </c>
      <c r="AD159" s="33" t="str">
        <f>C159&amp;F159</f>
        <v>United Arab EmiratesLC bn</v>
      </c>
    </row>
    <row r="160" spans="1:30" s="796" customFormat="1" ht="60" customHeight="1">
      <c r="A160" s="1268"/>
      <c r="B160" s="1268"/>
      <c r="C160" s="1256"/>
      <c r="D160" s="1266"/>
      <c r="F160" s="175" t="s">
        <v>116</v>
      </c>
      <c r="G160" s="258" t="e">
        <f>G159/VLOOKUP(C159,#REF!,7,0)</f>
        <v>#REF!</v>
      </c>
      <c r="H160" s="798"/>
      <c r="I160" s="1196"/>
      <c r="J160" s="779"/>
      <c r="K160" s="1196"/>
      <c r="L160" s="766"/>
      <c r="M160" s="766"/>
      <c r="O160" s="175" t="s">
        <v>116</v>
      </c>
      <c r="P160" s="766"/>
      <c r="Q160" s="277"/>
      <c r="R160" s="1185"/>
      <c r="T160" s="175" t="s">
        <v>116</v>
      </c>
      <c r="U160" s="807"/>
      <c r="V160" s="1185"/>
      <c r="W160" s="766"/>
      <c r="X160" s="1185"/>
      <c r="Y160" s="766"/>
      <c r="AA160" s="787" t="s">
        <v>52</v>
      </c>
      <c r="AD160" s="33" t="str">
        <f>C159&amp;F160</f>
        <v>United Arab EmiratesUSD bn</v>
      </c>
    </row>
    <row r="161" spans="1:30" ht="78" customHeight="1">
      <c r="A161" s="1268"/>
      <c r="B161" s="1268"/>
      <c r="C161" s="1257"/>
      <c r="D161" s="1261"/>
      <c r="E161" s="12"/>
      <c r="F161" s="53" t="s">
        <v>117</v>
      </c>
      <c r="G161" s="252" t="e">
        <f>(G159/VLOOKUP(C159,#REF!,4,0))*100</f>
        <v>#REF!</v>
      </c>
      <c r="H161" s="780"/>
      <c r="I161" s="1197"/>
      <c r="J161" s="808"/>
      <c r="K161" s="1197"/>
      <c r="L161" s="767"/>
      <c r="M161" s="767"/>
      <c r="N161" s="12"/>
      <c r="O161" s="53" t="s">
        <v>117</v>
      </c>
      <c r="P161" s="804"/>
      <c r="Q161" s="267"/>
      <c r="R161" s="1186"/>
      <c r="S161" s="12"/>
      <c r="T161" s="53" t="s">
        <v>117</v>
      </c>
      <c r="U161" s="252"/>
      <c r="V161" s="1186"/>
      <c r="W161" s="767"/>
      <c r="X161" s="1186"/>
      <c r="Y161" s="767"/>
      <c r="Z161" s="52"/>
      <c r="AA161" s="788"/>
      <c r="AD161" s="33" t="str">
        <f>C159&amp;F161</f>
        <v>United Arab Emirates% GDP</v>
      </c>
    </row>
    <row r="162" spans="1:30" s="796" customFormat="1" ht="140.5" customHeight="1">
      <c r="A162" s="1268">
        <v>0</v>
      </c>
      <c r="B162" s="1268" t="s">
        <v>862</v>
      </c>
      <c r="C162" s="1256" t="s">
        <v>37</v>
      </c>
      <c r="D162" s="1260" t="s">
        <v>571</v>
      </c>
      <c r="E162" s="184"/>
      <c r="F162" s="506" t="s">
        <v>115</v>
      </c>
      <c r="G162" s="255">
        <v>295</v>
      </c>
      <c r="H162" s="255">
        <v>20.2</v>
      </c>
      <c r="I162" s="1193" t="s">
        <v>1215</v>
      </c>
      <c r="J162" s="255">
        <v>275</v>
      </c>
      <c r="K162" s="1193" t="s">
        <v>1204</v>
      </c>
      <c r="L162" s="765"/>
      <c r="M162" s="765"/>
      <c r="N162" s="795"/>
      <c r="O162" s="38" t="s">
        <v>115</v>
      </c>
      <c r="P162" s="498"/>
      <c r="Q162" s="274"/>
      <c r="R162" s="1184"/>
      <c r="S162" s="795"/>
      <c r="T162" s="38" t="s">
        <v>115</v>
      </c>
      <c r="U162" s="806"/>
      <c r="V162" s="765"/>
      <c r="W162" s="765"/>
      <c r="X162" s="765"/>
      <c r="Y162" s="765"/>
      <c r="Z162" s="795"/>
      <c r="AA162" s="765"/>
      <c r="AD162" s="33" t="str">
        <f>C162&amp;F162</f>
        <v>BangladeshLC bn</v>
      </c>
    </row>
    <row r="163" spans="1:30" s="37" customFormat="1" ht="140.5" customHeight="1">
      <c r="A163" s="1268"/>
      <c r="B163" s="1268"/>
      <c r="C163" s="1256"/>
      <c r="D163" s="1260"/>
      <c r="E163" s="184"/>
      <c r="F163" s="506" t="s">
        <v>116</v>
      </c>
      <c r="G163" s="258" t="e">
        <f>G162/VLOOKUP(C162,#REF!,7,0)</f>
        <v>#REF!</v>
      </c>
      <c r="H163" s="258" t="e">
        <f>H162/VLOOKUP($C162,#REF!,7,0)</f>
        <v>#REF!</v>
      </c>
      <c r="I163" s="1216"/>
      <c r="J163" s="258" t="e">
        <f>J162/VLOOKUP($C162,#REF!,7,0)</f>
        <v>#REF!</v>
      </c>
      <c r="K163" s="1216"/>
      <c r="L163" s="766"/>
      <c r="M163" s="766"/>
      <c r="N163" s="796"/>
      <c r="O163" s="175" t="s">
        <v>116</v>
      </c>
      <c r="P163" s="412"/>
      <c r="Q163" s="269"/>
      <c r="R163" s="1185"/>
      <c r="S163" s="796"/>
      <c r="T163" s="175" t="s">
        <v>116</v>
      </c>
      <c r="U163" s="807"/>
      <c r="V163" s="766"/>
      <c r="W163" s="766"/>
      <c r="X163" s="766"/>
      <c r="Y163" s="766"/>
      <c r="Z163" s="796"/>
      <c r="AA163" s="766"/>
      <c r="AD163" s="33" t="str">
        <f>C162&amp;F163</f>
        <v>BangladeshUSD bn</v>
      </c>
    </row>
    <row r="164" spans="1:30" ht="163.5" customHeight="1">
      <c r="A164" s="1268"/>
      <c r="B164" s="1268"/>
      <c r="C164" s="1257"/>
      <c r="D164" s="1261"/>
      <c r="E164" s="507"/>
      <c r="F164" s="508" t="s">
        <v>117</v>
      </c>
      <c r="G164" s="252" t="e">
        <f>(G162/VLOOKUP(C162,#REF!,4,0))*100</f>
        <v>#REF!</v>
      </c>
      <c r="H164" s="252" t="e">
        <f>(H162/VLOOKUP($C162,#REF!,4,0))*100</f>
        <v>#REF!</v>
      </c>
      <c r="I164" s="1197"/>
      <c r="J164" s="252" t="e">
        <f>(J162/VLOOKUP($C162,#REF!,4,0))*100</f>
        <v>#REF!</v>
      </c>
      <c r="K164" s="1197"/>
      <c r="L164" s="767"/>
      <c r="M164" s="767"/>
      <c r="N164" s="12"/>
      <c r="O164" s="53" t="s">
        <v>117</v>
      </c>
      <c r="P164" s="499"/>
      <c r="Q164" s="267"/>
      <c r="R164" s="1186"/>
      <c r="S164" s="12"/>
      <c r="T164" s="53" t="s">
        <v>117</v>
      </c>
      <c r="U164" s="252"/>
      <c r="V164" s="767"/>
      <c r="W164" s="767"/>
      <c r="X164" s="767"/>
      <c r="Y164" s="766"/>
      <c r="AA164" s="787"/>
      <c r="AD164" s="33" t="str">
        <f>C162&amp;F164</f>
        <v>Bangladesh% GDP</v>
      </c>
    </row>
    <row r="165" spans="1:30" ht="50.15" customHeight="1">
      <c r="A165" s="1268">
        <v>0</v>
      </c>
      <c r="B165" s="1268" t="s">
        <v>862</v>
      </c>
      <c r="C165" s="1256" t="s">
        <v>548</v>
      </c>
      <c r="D165" s="1266" t="s">
        <v>571</v>
      </c>
      <c r="E165" s="35"/>
      <c r="F165" s="175" t="s">
        <v>115</v>
      </c>
      <c r="G165" s="510">
        <f>H165+J165</f>
        <v>60.8</v>
      </c>
      <c r="H165" s="250">
        <v>19.8</v>
      </c>
      <c r="I165" s="1193" t="s">
        <v>647</v>
      </c>
      <c r="J165" s="250">
        <v>41</v>
      </c>
      <c r="K165" s="1193" t="s">
        <v>748</v>
      </c>
      <c r="L165" s="766"/>
      <c r="M165" s="766"/>
      <c r="N165" s="35"/>
      <c r="O165" s="38" t="s">
        <v>115</v>
      </c>
      <c r="P165" s="496">
        <f t="shared" ref="P165:P176" si="24">Q165+U165+W165</f>
        <v>21</v>
      </c>
      <c r="Q165" s="266">
        <v>21</v>
      </c>
      <c r="R165" s="1184" t="s">
        <v>751</v>
      </c>
      <c r="S165" s="35"/>
      <c r="T165" s="38" t="s">
        <v>115</v>
      </c>
      <c r="U165" s="258"/>
      <c r="V165" s="766"/>
      <c r="W165" s="766"/>
      <c r="X165" s="766"/>
      <c r="Y165" s="766"/>
      <c r="AA165" s="787"/>
      <c r="AD165" s="33" t="str">
        <f>C165&amp;F165</f>
        <v>EthiopiaLC bn</v>
      </c>
    </row>
    <row r="166" spans="1:30" ht="50.15" customHeight="1">
      <c r="A166" s="1268"/>
      <c r="B166" s="1268"/>
      <c r="C166" s="1256"/>
      <c r="D166" s="1266"/>
      <c r="E166" s="35"/>
      <c r="F166" s="175" t="s">
        <v>116</v>
      </c>
      <c r="G166" s="258" t="e">
        <f>G165/VLOOKUP(C165,#REF!,7,0)</f>
        <v>#REF!</v>
      </c>
      <c r="H166" s="258" t="e">
        <f>H165/VLOOKUP($C165,#REF!,7,0)</f>
        <v>#REF!</v>
      </c>
      <c r="I166" s="1216"/>
      <c r="J166" s="258" t="e">
        <f>J165/VLOOKUP($C165,#REF!,7,0)</f>
        <v>#REF!</v>
      </c>
      <c r="K166" s="1216"/>
      <c r="L166" s="258"/>
      <c r="M166" s="766"/>
      <c r="N166" s="35"/>
      <c r="O166" s="175" t="s">
        <v>116</v>
      </c>
      <c r="P166" s="412" t="e">
        <f t="shared" si="24"/>
        <v>#REF!</v>
      </c>
      <c r="Q166" s="269" t="e">
        <f>Q165/VLOOKUP(C165,#REF!,7,0)</f>
        <v>#REF!</v>
      </c>
      <c r="R166" s="1185"/>
      <c r="S166" s="35"/>
      <c r="T166" s="175" t="s">
        <v>116</v>
      </c>
      <c r="U166" s="258"/>
      <c r="V166" s="766"/>
      <c r="W166" s="766"/>
      <c r="X166" s="766"/>
      <c r="Y166" s="766"/>
      <c r="AA166" s="787"/>
      <c r="AD166" s="33" t="str">
        <f>C165&amp;F166</f>
        <v>EthiopiaUSD bn</v>
      </c>
    </row>
    <row r="167" spans="1:30" ht="58.5" customHeight="1">
      <c r="A167" s="1268"/>
      <c r="B167" s="1268"/>
      <c r="C167" s="1257"/>
      <c r="D167" s="1261"/>
      <c r="E167" s="12"/>
      <c r="F167" s="53" t="s">
        <v>117</v>
      </c>
      <c r="G167" s="252" t="e">
        <f>(G165/VLOOKUP(C165,#REF!,4,0))*100</f>
        <v>#REF!</v>
      </c>
      <c r="H167" s="252" t="e">
        <f>(H165/VLOOKUP($C165,#REF!,4,0))*100</f>
        <v>#REF!</v>
      </c>
      <c r="I167" s="1197"/>
      <c r="J167" s="252" t="e">
        <f>(J165/VLOOKUP($C165,#REF!,4,0))*100</f>
        <v>#REF!</v>
      </c>
      <c r="K167" s="1197"/>
      <c r="L167" s="252"/>
      <c r="M167" s="767"/>
      <c r="N167" s="12"/>
      <c r="O167" s="53" t="s">
        <v>117</v>
      </c>
      <c r="P167" s="499" t="e">
        <f t="shared" si="24"/>
        <v>#REF!</v>
      </c>
      <c r="Q167" s="267" t="e">
        <f>(Q165/VLOOKUP(C165,#REF!,4,0))*100</f>
        <v>#REF!</v>
      </c>
      <c r="R167" s="1186"/>
      <c r="S167" s="12"/>
      <c r="T167" s="53" t="s">
        <v>117</v>
      </c>
      <c r="U167" s="252"/>
      <c r="V167" s="767"/>
      <c r="W167" s="767"/>
      <c r="X167" s="767"/>
      <c r="Y167" s="766"/>
      <c r="AA167" s="787"/>
      <c r="AD167" s="33" t="str">
        <f>C165&amp;F167</f>
        <v>Ethiopia% GDP</v>
      </c>
    </row>
    <row r="168" spans="1:30" ht="50.15" customHeight="1">
      <c r="A168" s="1268">
        <v>0</v>
      </c>
      <c r="B168" s="1268" t="s">
        <v>862</v>
      </c>
      <c r="C168" s="1256" t="s">
        <v>550</v>
      </c>
      <c r="D168" s="1266" t="s">
        <v>571</v>
      </c>
      <c r="E168" s="35"/>
      <c r="F168" s="175" t="s">
        <v>115</v>
      </c>
      <c r="G168" s="502">
        <v>11.2</v>
      </c>
      <c r="H168" s="503">
        <f>0.572</f>
        <v>0.57199999999999995</v>
      </c>
      <c r="I168" s="1193" t="s">
        <v>648</v>
      </c>
      <c r="J168" s="502">
        <f>G168-H168</f>
        <v>10.628</v>
      </c>
      <c r="K168" s="1184" t="s">
        <v>788</v>
      </c>
      <c r="L168" s="766" t="s">
        <v>84</v>
      </c>
      <c r="M168" s="1193" t="s">
        <v>621</v>
      </c>
      <c r="N168" s="35"/>
      <c r="O168" s="38" t="s">
        <v>115</v>
      </c>
      <c r="P168" s="498">
        <f t="shared" si="24"/>
        <v>1.2</v>
      </c>
      <c r="Q168" s="518">
        <v>1.2</v>
      </c>
      <c r="R168" s="1190" t="s">
        <v>752</v>
      </c>
      <c r="S168" s="35"/>
      <c r="T168" s="38" t="s">
        <v>115</v>
      </c>
      <c r="U168" s="258"/>
      <c r="V168" s="766"/>
      <c r="W168" s="766"/>
      <c r="X168" s="766"/>
      <c r="Y168" s="766"/>
      <c r="AA168" s="787"/>
      <c r="AD168" s="33" t="str">
        <f>C168&amp;F168</f>
        <v>GhanaLC bn</v>
      </c>
    </row>
    <row r="169" spans="1:30" ht="40.5" customHeight="1">
      <c r="A169" s="1268"/>
      <c r="B169" s="1268"/>
      <c r="C169" s="1256"/>
      <c r="D169" s="1266"/>
      <c r="E169" s="35"/>
      <c r="F169" s="175" t="s">
        <v>116</v>
      </c>
      <c r="G169" s="258" t="e">
        <f>G168/VLOOKUP(C168,#REF!,7,0)</f>
        <v>#REF!</v>
      </c>
      <c r="H169" s="258" t="e">
        <f>H168/VLOOKUP($C168,#REF!,7,0)</f>
        <v>#REF!</v>
      </c>
      <c r="I169" s="1216"/>
      <c r="J169" s="258" t="e">
        <f>J168/VLOOKUP($C168,#REF!,7,0)</f>
        <v>#REF!</v>
      </c>
      <c r="K169" s="1219"/>
      <c r="L169" s="258"/>
      <c r="M169" s="1216"/>
      <c r="N169" s="35"/>
      <c r="O169" s="175" t="s">
        <v>116</v>
      </c>
      <c r="P169" s="412" t="e">
        <f t="shared" si="24"/>
        <v>#REF!</v>
      </c>
      <c r="Q169" s="258" t="e">
        <f>Q168/VLOOKUP($C168,#REF!,7,0)</f>
        <v>#REF!</v>
      </c>
      <c r="R169" s="1238"/>
      <c r="S169" s="35"/>
      <c r="T169" s="175" t="s">
        <v>116</v>
      </c>
      <c r="U169" s="258"/>
      <c r="V169" s="766"/>
      <c r="W169" s="766"/>
      <c r="X169" s="766"/>
      <c r="Y169" s="766"/>
      <c r="AA169" s="787"/>
      <c r="AD169" s="33" t="str">
        <f>C168&amp;F169</f>
        <v>GhanaUSD bn</v>
      </c>
    </row>
    <row r="170" spans="1:30" ht="53.15" customHeight="1">
      <c r="A170" s="1268"/>
      <c r="B170" s="1268"/>
      <c r="C170" s="1257"/>
      <c r="D170" s="1261"/>
      <c r="E170" s="12"/>
      <c r="F170" s="53" t="s">
        <v>117</v>
      </c>
      <c r="G170" s="252" t="e">
        <f>(G168/VLOOKUP(C168,#REF!,4,0))*100</f>
        <v>#REF!</v>
      </c>
      <c r="H170" s="252" t="e">
        <f>(H168/VLOOKUP($C168,#REF!,4,0))*100</f>
        <v>#REF!</v>
      </c>
      <c r="I170" s="1197"/>
      <c r="J170" s="252" t="e">
        <f>(J168/VLOOKUP($C168,#REF!,4,0))*100</f>
        <v>#REF!</v>
      </c>
      <c r="K170" s="1186"/>
      <c r="L170" s="252"/>
      <c r="M170" s="1197"/>
      <c r="N170" s="12"/>
      <c r="O170" s="53" t="s">
        <v>117</v>
      </c>
      <c r="P170" s="499" t="e">
        <f t="shared" si="24"/>
        <v>#REF!</v>
      </c>
      <c r="Q170" s="252" t="e">
        <f>(Q168/VLOOKUP($C168,#REF!,4,0))*100</f>
        <v>#REF!</v>
      </c>
      <c r="R170" s="1192"/>
      <c r="S170" s="12"/>
      <c r="T170" s="53" t="s">
        <v>117</v>
      </c>
      <c r="U170" s="252"/>
      <c r="V170" s="767"/>
      <c r="W170" s="767"/>
      <c r="X170" s="767"/>
      <c r="Y170" s="766"/>
      <c r="AA170" s="787"/>
      <c r="AD170" s="33" t="str">
        <f>C168&amp;F170</f>
        <v>Ghana% GDP</v>
      </c>
    </row>
    <row r="171" spans="1:30" ht="32.5" customHeight="1">
      <c r="A171" s="1268">
        <v>0</v>
      </c>
      <c r="B171" s="1268" t="s">
        <v>862</v>
      </c>
      <c r="C171" s="1256" t="s">
        <v>566</v>
      </c>
      <c r="D171" s="1252" t="s">
        <v>571</v>
      </c>
      <c r="E171" s="35"/>
      <c r="F171" s="175" t="s">
        <v>115</v>
      </c>
      <c r="G171" s="251">
        <v>13.7</v>
      </c>
      <c r="H171" s="121">
        <v>10.7</v>
      </c>
      <c r="I171" s="1270" t="s">
        <v>649</v>
      </c>
      <c r="J171" s="258">
        <v>3</v>
      </c>
      <c r="K171" s="1190" t="s">
        <v>993</v>
      </c>
      <c r="L171" s="766"/>
      <c r="M171" s="766"/>
      <c r="N171" s="35"/>
      <c r="O171" s="38" t="s">
        <v>115</v>
      </c>
      <c r="P171" s="496"/>
      <c r="Q171" s="251"/>
      <c r="R171" s="1184"/>
      <c r="S171" s="35"/>
      <c r="T171" s="38" t="s">
        <v>115</v>
      </c>
      <c r="U171" s="258"/>
      <c r="V171" s="766"/>
      <c r="W171" s="766"/>
      <c r="X171" s="766"/>
      <c r="Y171" s="766"/>
      <c r="AA171" s="787"/>
      <c r="AD171" s="33" t="str">
        <f>C171&amp;F171</f>
        <v>Guinea-BissauLC bn</v>
      </c>
    </row>
    <row r="172" spans="1:30" ht="38.5" customHeight="1">
      <c r="A172" s="1268"/>
      <c r="B172" s="1268"/>
      <c r="C172" s="1256"/>
      <c r="D172" s="1253"/>
      <c r="E172" s="35"/>
      <c r="F172" s="175" t="s">
        <v>116</v>
      </c>
      <c r="G172" s="258" t="e">
        <f>G171/VLOOKUP($C171,#REF!,7,0)</f>
        <v>#REF!</v>
      </c>
      <c r="H172" s="258" t="e">
        <f>H171/VLOOKUP($C171,#REF!,7,0)</f>
        <v>#REF!</v>
      </c>
      <c r="I172" s="1318"/>
      <c r="J172" s="258" t="e">
        <f>J171/VLOOKUP($C171,#REF!,7,0)</f>
        <v>#REF!</v>
      </c>
      <c r="K172" s="1185"/>
      <c r="L172" s="258"/>
      <c r="M172" s="766"/>
      <c r="N172" s="35"/>
      <c r="O172" s="175" t="s">
        <v>116</v>
      </c>
      <c r="P172" s="412"/>
      <c r="Q172" s="258"/>
      <c r="R172" s="1219"/>
      <c r="S172" s="35"/>
      <c r="T172" s="175" t="s">
        <v>116</v>
      </c>
      <c r="U172" s="258"/>
      <c r="V172" s="766"/>
      <c r="W172" s="766"/>
      <c r="X172" s="766"/>
      <c r="Y172" s="766"/>
      <c r="AA172" s="787"/>
      <c r="AD172" s="33" t="str">
        <f>C171&amp;F172</f>
        <v>Guinea-BissauUSD bn</v>
      </c>
    </row>
    <row r="173" spans="1:30" ht="40" customHeight="1">
      <c r="A173" s="1268"/>
      <c r="B173" s="1268"/>
      <c r="C173" s="1257"/>
      <c r="D173" s="1254"/>
      <c r="E173" s="35"/>
      <c r="F173" s="175" t="s">
        <v>117</v>
      </c>
      <c r="G173" s="258" t="e">
        <f>(G171/VLOOKUP($C171,#REF!,4,0))*100</f>
        <v>#REF!</v>
      </c>
      <c r="H173" s="258" t="e">
        <f>(H171/VLOOKUP($C171,#REF!,4,0))*100</f>
        <v>#REF!</v>
      </c>
      <c r="I173" s="1319"/>
      <c r="J173" s="258" t="e">
        <f>(J171/VLOOKUP($C171,#REF!,4,0))*100</f>
        <v>#REF!</v>
      </c>
      <c r="K173" s="1186"/>
      <c r="L173" s="258"/>
      <c r="M173" s="766"/>
      <c r="N173" s="35"/>
      <c r="O173" s="53" t="s">
        <v>117</v>
      </c>
      <c r="P173" s="499"/>
      <c r="Q173" s="258"/>
      <c r="R173" s="1186"/>
      <c r="S173" s="35"/>
      <c r="T173" s="53" t="s">
        <v>117</v>
      </c>
      <c r="U173" s="258"/>
      <c r="V173" s="766"/>
      <c r="W173" s="766"/>
      <c r="X173" s="766"/>
      <c r="Y173" s="766"/>
      <c r="AA173" s="787"/>
      <c r="AD173" s="33" t="str">
        <f>C171&amp;F173</f>
        <v>Guinea-Bissau% GDP</v>
      </c>
    </row>
    <row r="174" spans="1:30" s="795" customFormat="1" ht="36" customHeight="1">
      <c r="A174" s="1268">
        <v>0</v>
      </c>
      <c r="B174" s="1268" t="s">
        <v>862</v>
      </c>
      <c r="C174" s="1256" t="s">
        <v>38</v>
      </c>
      <c r="D174" s="1253" t="s">
        <v>571</v>
      </c>
      <c r="E174" s="244"/>
      <c r="F174" s="38" t="s">
        <v>115</v>
      </c>
      <c r="G174" s="255">
        <f>H174+J174</f>
        <v>13.6</v>
      </c>
      <c r="H174" s="776">
        <v>5.6</v>
      </c>
      <c r="I174" s="1220" t="s">
        <v>994</v>
      </c>
      <c r="J174" s="806">
        <v>8</v>
      </c>
      <c r="K174" s="1184" t="s">
        <v>749</v>
      </c>
      <c r="L174" s="765"/>
      <c r="M174" s="1184" t="s">
        <v>995</v>
      </c>
      <c r="N174" s="244"/>
      <c r="O174" s="38" t="s">
        <v>115</v>
      </c>
      <c r="P174" s="496">
        <f t="shared" si="24"/>
        <v>12.475</v>
      </c>
      <c r="Q174" s="276"/>
      <c r="R174" s="765"/>
      <c r="S174" s="244"/>
      <c r="T174" s="38" t="s">
        <v>115</v>
      </c>
      <c r="U174" s="784">
        <v>6.875</v>
      </c>
      <c r="V174" s="1184" t="s">
        <v>753</v>
      </c>
      <c r="W174" s="776">
        <v>5.6</v>
      </c>
      <c r="X174" s="1184" t="s">
        <v>754</v>
      </c>
      <c r="Y174" s="765"/>
      <c r="Z174" s="14"/>
      <c r="AA174" s="765"/>
      <c r="AD174" s="33" t="str">
        <f>C174&amp;F174</f>
        <v>HondurasLC bn</v>
      </c>
    </row>
    <row r="175" spans="1:30" ht="40" customHeight="1">
      <c r="A175" s="1268"/>
      <c r="B175" s="1268"/>
      <c r="C175" s="1256"/>
      <c r="D175" s="1253"/>
      <c r="E175" s="35"/>
      <c r="F175" s="175" t="s">
        <v>116</v>
      </c>
      <c r="G175" s="258" t="e">
        <f>G174/#REF!</f>
        <v>#REF!</v>
      </c>
      <c r="H175" s="258" t="e">
        <f>H174/VLOOKUP($C174,#REF!,7,0)</f>
        <v>#REF!</v>
      </c>
      <c r="I175" s="1287"/>
      <c r="J175" s="258" t="e">
        <f>J174/VLOOKUP($C174,#REF!,7,0)</f>
        <v>#REF!</v>
      </c>
      <c r="K175" s="1219"/>
      <c r="L175" s="766"/>
      <c r="M175" s="1219"/>
      <c r="N175" s="35"/>
      <c r="O175" s="175" t="s">
        <v>116</v>
      </c>
      <c r="P175" s="412" t="e">
        <f t="shared" si="24"/>
        <v>#REF!</v>
      </c>
      <c r="Q175" s="269"/>
      <c r="R175" s="766"/>
      <c r="S175" s="35"/>
      <c r="T175" s="175" t="s">
        <v>116</v>
      </c>
      <c r="U175" s="258" t="e">
        <f>U174/VLOOKUP($C174,#REF!,7,0)</f>
        <v>#REF!</v>
      </c>
      <c r="V175" s="1219"/>
      <c r="W175" s="258" t="e">
        <f>W174/VLOOKUP($C174,#REF!,7,0)</f>
        <v>#REF!</v>
      </c>
      <c r="X175" s="1219"/>
      <c r="Y175" s="766"/>
      <c r="AA175" s="787"/>
      <c r="AD175" s="33" t="str">
        <f>C174&amp;F175</f>
        <v>HondurasUSD bn</v>
      </c>
    </row>
    <row r="176" spans="1:30" ht="40" customHeight="1">
      <c r="A176" s="1268"/>
      <c r="B176" s="1268"/>
      <c r="C176" s="1257"/>
      <c r="D176" s="1254"/>
      <c r="E176" s="12"/>
      <c r="F176" s="53" t="s">
        <v>117</v>
      </c>
      <c r="G176" s="252" t="e">
        <f>G174/#REF!*100</f>
        <v>#REF!</v>
      </c>
      <c r="H176" s="252" t="e">
        <f>(H174/VLOOKUP($C174,#REF!,4,0))*100</f>
        <v>#REF!</v>
      </c>
      <c r="I176" s="1222"/>
      <c r="J176" s="252" t="e">
        <f>(J174/VLOOKUP($C174,#REF!,4,0))*100</f>
        <v>#REF!</v>
      </c>
      <c r="K176" s="1186"/>
      <c r="L176" s="767"/>
      <c r="M176" s="1186"/>
      <c r="N176" s="12"/>
      <c r="O176" s="53" t="s">
        <v>117</v>
      </c>
      <c r="P176" s="499" t="e">
        <f t="shared" si="24"/>
        <v>#REF!</v>
      </c>
      <c r="Q176" s="267"/>
      <c r="R176" s="767"/>
      <c r="S176" s="12"/>
      <c r="T176" s="53" t="s">
        <v>117</v>
      </c>
      <c r="U176" s="252" t="e">
        <f>(U174/VLOOKUP($C174,#REF!,4,0))*100</f>
        <v>#REF!</v>
      </c>
      <c r="V176" s="1186"/>
      <c r="W176" s="252" t="e">
        <f>(W174/VLOOKUP($C174,#REF!,4,0))*100</f>
        <v>#REF!</v>
      </c>
      <c r="X176" s="1186"/>
      <c r="Y176" s="767"/>
      <c r="Z176" s="52"/>
      <c r="AA176" s="788"/>
      <c r="AD176" s="33" t="str">
        <f>C174&amp;F176</f>
        <v>Honduras% GDP</v>
      </c>
    </row>
    <row r="177" spans="1:31" ht="61" customHeight="1">
      <c r="A177" s="1268">
        <v>0</v>
      </c>
      <c r="B177" s="1268" t="s">
        <v>862</v>
      </c>
      <c r="C177" s="1256" t="s">
        <v>552</v>
      </c>
      <c r="D177" s="1266" t="s">
        <v>571</v>
      </c>
      <c r="E177" s="35"/>
      <c r="F177" s="38" t="s">
        <v>115</v>
      </c>
      <c r="G177" s="510">
        <f>80-L177</f>
        <v>47</v>
      </c>
      <c r="H177" s="502">
        <v>7.6</v>
      </c>
      <c r="I177" s="1193" t="s">
        <v>1205</v>
      </c>
      <c r="J177" s="250">
        <f>56+40</f>
        <v>96</v>
      </c>
      <c r="K177" s="1193" t="s">
        <v>1206</v>
      </c>
      <c r="L177" s="753">
        <v>33</v>
      </c>
      <c r="M177" s="1193" t="s">
        <v>789</v>
      </c>
      <c r="N177" s="509"/>
      <c r="O177" s="505" t="s">
        <v>115</v>
      </c>
      <c r="P177" s="754"/>
      <c r="Q177" s="77"/>
      <c r="R177" s="766"/>
      <c r="S177" s="35"/>
      <c r="T177" s="38" t="s">
        <v>115</v>
      </c>
      <c r="U177" s="258"/>
      <c r="V177" s="766"/>
      <c r="W177" s="766"/>
      <c r="X177" s="766"/>
      <c r="Y177" s="766"/>
      <c r="AA177" s="787"/>
      <c r="AD177" s="33" t="str">
        <f>C177&amp;F177</f>
        <v>KenyaLC bn</v>
      </c>
    </row>
    <row r="178" spans="1:31" ht="88" customHeight="1">
      <c r="A178" s="1268"/>
      <c r="B178" s="1268"/>
      <c r="C178" s="1256"/>
      <c r="D178" s="1266"/>
      <c r="E178" s="35"/>
      <c r="F178" s="175" t="s">
        <v>116</v>
      </c>
      <c r="G178" s="258" t="e">
        <f>G177/VLOOKUP($C177,#REF!,7,0)</f>
        <v>#REF!</v>
      </c>
      <c r="H178" s="258" t="e">
        <f>H177/VLOOKUP($C177,#REF!,7,0)</f>
        <v>#REF!</v>
      </c>
      <c r="I178" s="1216"/>
      <c r="J178" s="258" t="e">
        <f>J177/VLOOKUP($C177,#REF!,7,0)</f>
        <v>#REF!</v>
      </c>
      <c r="K178" s="1216"/>
      <c r="L178" s="258" t="e">
        <f>L177/VLOOKUP($C177,#REF!,7,0)</f>
        <v>#REF!</v>
      </c>
      <c r="M178" s="1216"/>
      <c r="N178" s="509"/>
      <c r="O178" s="506" t="s">
        <v>116</v>
      </c>
      <c r="P178" s="755"/>
      <c r="Q178" s="258"/>
      <c r="R178" s="766"/>
      <c r="S178" s="35"/>
      <c r="T178" s="175" t="s">
        <v>116</v>
      </c>
      <c r="U178" s="258"/>
      <c r="V178" s="766"/>
      <c r="W178" s="766"/>
      <c r="X178" s="766"/>
      <c r="Y178" s="766"/>
      <c r="AA178" s="787"/>
      <c r="AD178" s="33" t="str">
        <f>C177&amp;F178</f>
        <v>KenyaUSD bn</v>
      </c>
    </row>
    <row r="179" spans="1:31" ht="61" customHeight="1">
      <c r="A179" s="1268"/>
      <c r="B179" s="1268"/>
      <c r="C179" s="1257"/>
      <c r="D179" s="1261"/>
      <c r="E179" s="12"/>
      <c r="F179" s="53" t="s">
        <v>117</v>
      </c>
      <c r="G179" s="252" t="e">
        <f>(G177/VLOOKUP($C177,#REF!,4,0))*100</f>
        <v>#REF!</v>
      </c>
      <c r="H179" s="252" t="e">
        <f>(H177/VLOOKUP($C177,#REF!,4,0))*100</f>
        <v>#REF!</v>
      </c>
      <c r="I179" s="1197"/>
      <c r="J179" s="252" t="e">
        <f>(J177/VLOOKUP($C177,#REF!,4,0))*100</f>
        <v>#REF!</v>
      </c>
      <c r="K179" s="1197"/>
      <c r="L179" s="252" t="e">
        <f>(L177/VLOOKUP($C177,#REF!,4,0))*100</f>
        <v>#REF!</v>
      </c>
      <c r="M179" s="1197"/>
      <c r="N179" s="509"/>
      <c r="O179" s="508" t="s">
        <v>117</v>
      </c>
      <c r="P179" s="746"/>
      <c r="Q179" s="252"/>
      <c r="R179" s="767"/>
      <c r="S179" s="12"/>
      <c r="T179" s="53" t="s">
        <v>117</v>
      </c>
      <c r="U179" s="252"/>
      <c r="V179" s="767"/>
      <c r="W179" s="767"/>
      <c r="X179" s="767"/>
      <c r="Y179" s="766"/>
      <c r="AA179" s="787"/>
      <c r="AD179" s="33" t="str">
        <f>C177&amp;F179</f>
        <v>Kenya% GDP</v>
      </c>
    </row>
    <row r="180" spans="1:31" ht="61" customHeight="1">
      <c r="A180" s="1268">
        <v>0</v>
      </c>
      <c r="B180" s="1268" t="s">
        <v>862</v>
      </c>
      <c r="C180" s="1255" t="s">
        <v>912</v>
      </c>
      <c r="D180" s="1259" t="s">
        <v>572</v>
      </c>
      <c r="E180" s="35"/>
      <c r="F180" s="38" t="s">
        <v>115</v>
      </c>
      <c r="G180" s="251">
        <v>832</v>
      </c>
      <c r="H180" s="251">
        <v>185</v>
      </c>
      <c r="I180" s="1202" t="s">
        <v>1163</v>
      </c>
      <c r="J180" s="251">
        <v>647</v>
      </c>
      <c r="K180" s="1193" t="s">
        <v>1208</v>
      </c>
      <c r="L180" s="258"/>
      <c r="M180" s="774"/>
      <c r="N180" s="509"/>
      <c r="O180" s="505" t="s">
        <v>115</v>
      </c>
      <c r="P180" s="756">
        <f t="shared" ref="P180:P185" si="25">Q180+U180</f>
        <v>300</v>
      </c>
      <c r="Q180" s="251">
        <v>300</v>
      </c>
      <c r="R180" s="1184" t="s">
        <v>1164</v>
      </c>
      <c r="S180" s="35"/>
      <c r="T180" s="38" t="s">
        <v>115</v>
      </c>
      <c r="U180" s="258"/>
      <c r="V180" s="766"/>
      <c r="W180" s="766"/>
      <c r="X180" s="766"/>
      <c r="Y180" s="766"/>
      <c r="AA180" s="787"/>
      <c r="AD180" s="33" t="str">
        <f t="shared" ref="AD180" si="26">C180&amp;F180</f>
        <v>MyanmarLC bn</v>
      </c>
    </row>
    <row r="181" spans="1:31" ht="79" customHeight="1">
      <c r="A181" s="1268"/>
      <c r="B181" s="1268"/>
      <c r="C181" s="1256"/>
      <c r="D181" s="1260"/>
      <c r="E181" s="35"/>
      <c r="F181" s="175" t="s">
        <v>116</v>
      </c>
      <c r="G181" s="258" t="e">
        <f>G180/VLOOKUP($C180,#REF!,7,0)</f>
        <v>#REF!</v>
      </c>
      <c r="H181" s="258" t="e">
        <f>H180/VLOOKUP($C180,#REF!,7,0)</f>
        <v>#REF!</v>
      </c>
      <c r="I181" s="1185"/>
      <c r="J181" s="258" t="e">
        <f>J180/VLOOKUP($C180,#REF!,7,0)</f>
        <v>#REF!</v>
      </c>
      <c r="K181" s="1196"/>
      <c r="L181" s="258"/>
      <c r="M181" s="774"/>
      <c r="N181" s="509"/>
      <c r="O181" s="506" t="s">
        <v>116</v>
      </c>
      <c r="P181" s="757" t="e">
        <f t="shared" si="25"/>
        <v>#REF!</v>
      </c>
      <c r="Q181" s="258" t="e">
        <f>Q180/VLOOKUP($C180,#REF!,7,0)</f>
        <v>#REF!</v>
      </c>
      <c r="R181" s="1185"/>
      <c r="S181" s="35"/>
      <c r="T181" s="175" t="s">
        <v>116</v>
      </c>
      <c r="U181" s="258"/>
      <c r="V181" s="766"/>
      <c r="W181" s="766"/>
      <c r="X181" s="766"/>
      <c r="Y181" s="766"/>
      <c r="AA181" s="787"/>
      <c r="AD181" s="33" t="str">
        <f t="shared" ref="AD181" si="27">C180&amp;F181</f>
        <v>MyanmarUSD bn</v>
      </c>
    </row>
    <row r="182" spans="1:31" ht="96" customHeight="1">
      <c r="A182" s="1268"/>
      <c r="B182" s="1268"/>
      <c r="C182" s="1257"/>
      <c r="D182" s="1261"/>
      <c r="E182" s="12"/>
      <c r="F182" s="53" t="s">
        <v>117</v>
      </c>
      <c r="G182" s="252" t="e">
        <f>(G180/VLOOKUP($C180,#REF!,4,0))*100</f>
        <v>#REF!</v>
      </c>
      <c r="H182" s="252" t="e">
        <f>(H180/VLOOKUP($C180,#REF!,4,0))*100</f>
        <v>#REF!</v>
      </c>
      <c r="I182" s="1186"/>
      <c r="J182" s="252" t="e">
        <f>(J180/VLOOKUP($C180,#REF!,4,0))*100</f>
        <v>#REF!</v>
      </c>
      <c r="K182" s="1197"/>
      <c r="L182" s="252"/>
      <c r="M182" s="775"/>
      <c r="N182" s="507"/>
      <c r="O182" s="508" t="s">
        <v>117</v>
      </c>
      <c r="P182" s="746" t="e">
        <f t="shared" si="25"/>
        <v>#REF!</v>
      </c>
      <c r="Q182" s="252" t="e">
        <f>(Q180/VLOOKUP($C180,#REF!,4,0))*100</f>
        <v>#REF!</v>
      </c>
      <c r="R182" s="1186"/>
      <c r="S182" s="12"/>
      <c r="T182" s="53" t="s">
        <v>117</v>
      </c>
      <c r="U182" s="252"/>
      <c r="V182" s="767"/>
      <c r="W182" s="767"/>
      <c r="X182" s="767"/>
      <c r="Y182" s="766"/>
      <c r="AA182" s="787"/>
      <c r="AD182" s="33" t="str">
        <f t="shared" ref="AD182" si="28">C180&amp;F182</f>
        <v>Myanmar% GDP</v>
      </c>
    </row>
    <row r="183" spans="1:31" ht="115.5" customHeight="1">
      <c r="A183" s="1268">
        <v>0</v>
      </c>
      <c r="B183" s="1268" t="s">
        <v>862</v>
      </c>
      <c r="C183" s="1255" t="s">
        <v>914</v>
      </c>
      <c r="D183" s="1259" t="s">
        <v>570</v>
      </c>
      <c r="E183" s="16"/>
      <c r="F183" s="38" t="s">
        <v>115</v>
      </c>
      <c r="G183" s="253">
        <v>100</v>
      </c>
      <c r="H183" s="253">
        <v>50</v>
      </c>
      <c r="I183" s="1323" t="s">
        <v>1166</v>
      </c>
      <c r="J183" s="253">
        <f>G183-H183</f>
        <v>50</v>
      </c>
      <c r="K183" s="1193" t="s">
        <v>1209</v>
      </c>
      <c r="L183" s="286"/>
      <c r="M183" s="773"/>
      <c r="N183" s="534"/>
      <c r="O183" s="505" t="s">
        <v>115</v>
      </c>
      <c r="P183" s="756">
        <f t="shared" si="25"/>
        <v>50</v>
      </c>
      <c r="Q183" s="286">
        <v>50</v>
      </c>
      <c r="R183" s="765" t="s">
        <v>1167</v>
      </c>
      <c r="S183" s="16"/>
      <c r="T183" s="38" t="s">
        <v>115</v>
      </c>
      <c r="U183" s="286"/>
      <c r="V183" s="765"/>
      <c r="W183" s="765"/>
      <c r="X183" s="765"/>
      <c r="Y183" s="766"/>
      <c r="AA183" s="787"/>
      <c r="AD183" s="33" t="str">
        <f t="shared" ref="AD183" si="29">C183&amp;F183</f>
        <v>NepalLC bn</v>
      </c>
    </row>
    <row r="184" spans="1:31" ht="87.65" customHeight="1">
      <c r="A184" s="1268"/>
      <c r="B184" s="1268"/>
      <c r="C184" s="1256"/>
      <c r="D184" s="1260"/>
      <c r="E184" s="35"/>
      <c r="F184" s="175" t="s">
        <v>116</v>
      </c>
      <c r="G184" s="258" t="e">
        <f>G183/VLOOKUP($C183,#REF!,7,0)</f>
        <v>#REF!</v>
      </c>
      <c r="H184" s="258" t="e">
        <f>H183/VLOOKUP($C183,#REF!,7,0)</f>
        <v>#REF!</v>
      </c>
      <c r="I184" s="1321"/>
      <c r="J184" s="258" t="e">
        <f>J183/VLOOKUP($C183,#REF!,7,0)</f>
        <v>#REF!</v>
      </c>
      <c r="K184" s="1196"/>
      <c r="L184" s="258"/>
      <c r="M184" s="774"/>
      <c r="N184" s="509"/>
      <c r="O184" s="506" t="s">
        <v>116</v>
      </c>
      <c r="P184" s="757" t="e">
        <f t="shared" si="25"/>
        <v>#REF!</v>
      </c>
      <c r="Q184" s="258" t="e">
        <f>Q183/VLOOKUP($C183,#REF!,7,0)</f>
        <v>#REF!</v>
      </c>
      <c r="R184" s="766"/>
      <c r="S184" s="35"/>
      <c r="T184" s="175" t="s">
        <v>116</v>
      </c>
      <c r="U184" s="258"/>
      <c r="V184" s="766"/>
      <c r="W184" s="766"/>
      <c r="X184" s="766"/>
      <c r="Y184" s="766"/>
      <c r="AA184" s="787"/>
      <c r="AD184" s="33" t="str">
        <f t="shared" ref="AD184" si="30">C183&amp;F184</f>
        <v>NepalUSD bn</v>
      </c>
    </row>
    <row r="185" spans="1:31" ht="87.65" customHeight="1">
      <c r="A185" s="1268"/>
      <c r="B185" s="1268"/>
      <c r="C185" s="1257"/>
      <c r="D185" s="1261"/>
      <c r="E185" s="12"/>
      <c r="F185" s="53" t="s">
        <v>117</v>
      </c>
      <c r="G185" s="252" t="e">
        <f>(G183/VLOOKUP($C183,#REF!,4,0))*100</f>
        <v>#REF!</v>
      </c>
      <c r="H185" s="252" t="e">
        <f>(H183/VLOOKUP($C183,#REF!,4,0))*100</f>
        <v>#REF!</v>
      </c>
      <c r="I185" s="1322"/>
      <c r="J185" s="252" t="e">
        <f>(J183/VLOOKUP($C183,#REF!,4,0))*100</f>
        <v>#REF!</v>
      </c>
      <c r="K185" s="1197"/>
      <c r="L185" s="252"/>
      <c r="M185" s="775"/>
      <c r="N185" s="507"/>
      <c r="O185" s="508" t="s">
        <v>117</v>
      </c>
      <c r="P185" s="746" t="e">
        <f t="shared" si="25"/>
        <v>#REF!</v>
      </c>
      <c r="Q185" s="252" t="e">
        <f>(Q183/VLOOKUP($C183,#REF!,4,0))*100</f>
        <v>#REF!</v>
      </c>
      <c r="R185" s="767"/>
      <c r="S185" s="12"/>
      <c r="T185" s="53" t="s">
        <v>117</v>
      </c>
      <c r="U185" s="252"/>
      <c r="V185" s="767"/>
      <c r="W185" s="767"/>
      <c r="X185" s="767"/>
      <c r="Y185" s="766"/>
      <c r="AA185" s="787"/>
      <c r="AD185" s="33" t="str">
        <f t="shared" ref="AD185" si="31">C183&amp;F185</f>
        <v>Nepal% GDP</v>
      </c>
    </row>
    <row r="186" spans="1:31" ht="126.65" customHeight="1">
      <c r="A186" s="1268">
        <v>0</v>
      </c>
      <c r="B186" s="1268" t="s">
        <v>862</v>
      </c>
      <c r="C186" s="1255" t="s">
        <v>915</v>
      </c>
      <c r="D186" s="1259" t="s">
        <v>571</v>
      </c>
      <c r="E186" s="16"/>
      <c r="F186" s="38" t="s">
        <v>115</v>
      </c>
      <c r="G186" s="253">
        <v>58.49</v>
      </c>
      <c r="H186" s="253">
        <v>25.75</v>
      </c>
      <c r="I186" s="1320" t="s">
        <v>1168</v>
      </c>
      <c r="J186" s="253">
        <f>G186-H186</f>
        <v>32.74</v>
      </c>
      <c r="K186" s="1228" t="s">
        <v>1169</v>
      </c>
      <c r="L186" s="286"/>
      <c r="M186" s="773"/>
      <c r="N186" s="16"/>
      <c r="O186" s="38" t="s">
        <v>115</v>
      </c>
      <c r="P186" s="813">
        <f>SUM(Q186,U186)</f>
        <v>100</v>
      </c>
      <c r="Q186" s="253">
        <v>50</v>
      </c>
      <c r="R186" s="765" t="s">
        <v>1170</v>
      </c>
      <c r="S186" s="16"/>
      <c r="T186" s="38" t="s">
        <v>115</v>
      </c>
      <c r="U186" s="253">
        <v>50</v>
      </c>
      <c r="V186" s="765" t="s">
        <v>1171</v>
      </c>
      <c r="W186" s="765"/>
      <c r="X186" s="765"/>
      <c r="Y186" s="766"/>
      <c r="AA186" s="787"/>
      <c r="AD186" s="33" t="str">
        <f t="shared" ref="AD186" si="32">C186&amp;F186</f>
        <v>NigerLC bn</v>
      </c>
    </row>
    <row r="187" spans="1:31" ht="87.65" customHeight="1">
      <c r="A187" s="1268"/>
      <c r="B187" s="1268"/>
      <c r="C187" s="1256"/>
      <c r="D187" s="1260"/>
      <c r="E187" s="35"/>
      <c r="F187" s="175" t="s">
        <v>116</v>
      </c>
      <c r="G187" s="258" t="e">
        <f>G186/VLOOKUP($C186,#REF!,7,0)</f>
        <v>#REF!</v>
      </c>
      <c r="H187" s="258" t="e">
        <f>H186/VLOOKUP($C186,#REF!,7,0)</f>
        <v>#REF!</v>
      </c>
      <c r="I187" s="1321"/>
      <c r="J187" s="258" t="e">
        <f>J186/VLOOKUP($C186,#REF!,7,0)</f>
        <v>#REF!</v>
      </c>
      <c r="K187" s="1185"/>
      <c r="L187" s="258"/>
      <c r="M187" s="774"/>
      <c r="N187" s="35"/>
      <c r="O187" s="175" t="s">
        <v>116</v>
      </c>
      <c r="P187" s="732" t="e">
        <f>SUM(Q187,U187)</f>
        <v>#REF!</v>
      </c>
      <c r="Q187" s="258" t="e">
        <f>Q186/VLOOKUP($C186,#REF!,7,0)</f>
        <v>#REF!</v>
      </c>
      <c r="R187" s="766"/>
      <c r="S187" s="35"/>
      <c r="T187" s="175" t="s">
        <v>116</v>
      </c>
      <c r="U187" s="258" t="e">
        <f>U186/VLOOKUP($C186,#REF!,7,0)</f>
        <v>#REF!</v>
      </c>
      <c r="V187" s="766"/>
      <c r="W187" s="766"/>
      <c r="X187" s="766"/>
      <c r="Y187" s="766"/>
      <c r="AA187" s="787"/>
      <c r="AD187" s="33" t="str">
        <f t="shared" ref="AD187" si="33">C186&amp;F187</f>
        <v>NigerUSD bn</v>
      </c>
    </row>
    <row r="188" spans="1:31" ht="87.65" customHeight="1">
      <c r="A188" s="1268"/>
      <c r="B188" s="1268"/>
      <c r="C188" s="1257"/>
      <c r="D188" s="1261"/>
      <c r="E188" s="12"/>
      <c r="F188" s="53" t="s">
        <v>117</v>
      </c>
      <c r="G188" s="252" t="e">
        <f>(G186/VLOOKUP($C186,#REF!,4,0))*100</f>
        <v>#REF!</v>
      </c>
      <c r="H188" s="252" t="e">
        <f>(H186/VLOOKUP($C186,#REF!,4,0))*100</f>
        <v>#REF!</v>
      </c>
      <c r="I188" s="1322"/>
      <c r="J188" s="252" t="e">
        <f>(J186/VLOOKUP($C186,#REF!,4,0))*100</f>
        <v>#REF!</v>
      </c>
      <c r="K188" s="1186"/>
      <c r="L188" s="252"/>
      <c r="M188" s="775"/>
      <c r="N188" s="12"/>
      <c r="O188" s="53" t="s">
        <v>117</v>
      </c>
      <c r="P188" s="499" t="e">
        <f>SUM(Q188,U188)</f>
        <v>#REF!</v>
      </c>
      <c r="Q188" s="252" t="e">
        <f>(Q186/VLOOKUP($C186,#REF!,4,0))*100</f>
        <v>#REF!</v>
      </c>
      <c r="R188" s="767"/>
      <c r="S188" s="12"/>
      <c r="T188" s="53" t="s">
        <v>117</v>
      </c>
      <c r="U188" s="252" t="e">
        <f>(U186/VLOOKUP($C186,#REF!,4,0))*100</f>
        <v>#REF!</v>
      </c>
      <c r="V188" s="767"/>
      <c r="W188" s="767"/>
      <c r="X188" s="767"/>
      <c r="Y188" s="766"/>
      <c r="AA188" s="787"/>
      <c r="AD188" s="33" t="str">
        <f t="shared" ref="AD188" si="34">C186&amp;F188</f>
        <v>Niger% GDP</v>
      </c>
    </row>
    <row r="189" spans="1:31" s="796" customFormat="1" ht="56.15" customHeight="1">
      <c r="A189" s="1268">
        <v>0</v>
      </c>
      <c r="B189" s="1268" t="s">
        <v>862</v>
      </c>
      <c r="C189" s="1256" t="s">
        <v>29</v>
      </c>
      <c r="D189" s="802"/>
      <c r="F189" s="175" t="s">
        <v>115</v>
      </c>
      <c r="G189" s="186">
        <v>2300</v>
      </c>
      <c r="H189" s="777">
        <v>500</v>
      </c>
      <c r="I189" s="1185" t="s">
        <v>730</v>
      </c>
      <c r="J189" s="186">
        <f>G189-H189</f>
        <v>1800</v>
      </c>
      <c r="K189" s="1185" t="s">
        <v>1157</v>
      </c>
      <c r="L189" s="766"/>
      <c r="M189" s="766"/>
      <c r="O189" s="175" t="s">
        <v>115</v>
      </c>
      <c r="P189" s="766"/>
      <c r="Q189" s="277"/>
      <c r="R189" s="766"/>
      <c r="T189" s="175" t="s">
        <v>115</v>
      </c>
      <c r="U189" s="807"/>
      <c r="V189" s="766"/>
      <c r="W189" s="766"/>
      <c r="X189" s="766"/>
      <c r="Y189" s="765"/>
      <c r="Z189" s="795"/>
      <c r="AA189" s="765"/>
      <c r="AD189" s="33" t="str">
        <f t="shared" ref="AD189" si="35">C189&amp;F189</f>
        <v>NigeriaLC bn</v>
      </c>
      <c r="AE189" s="33"/>
    </row>
    <row r="190" spans="1:31" s="37" customFormat="1" ht="89.5" customHeight="1">
      <c r="A190" s="1268"/>
      <c r="B190" s="1268"/>
      <c r="C190" s="1256"/>
      <c r="D190" s="802"/>
      <c r="E190" s="796"/>
      <c r="F190" s="175" t="s">
        <v>116</v>
      </c>
      <c r="G190" s="807" t="e">
        <f>G189/VLOOKUP($C189,#REF!,7,0)</f>
        <v>#REF!</v>
      </c>
      <c r="H190" s="258" t="e">
        <f>H189/VLOOKUP($C189,#REF!,7,0)</f>
        <v>#REF!</v>
      </c>
      <c r="I190" s="1185"/>
      <c r="J190" s="807" t="e">
        <f>J189/VLOOKUP($C189,#REF!,7,0)</f>
        <v>#REF!</v>
      </c>
      <c r="K190" s="1219"/>
      <c r="L190" s="766"/>
      <c r="M190" s="766"/>
      <c r="N190" s="796"/>
      <c r="O190" s="175" t="s">
        <v>116</v>
      </c>
      <c r="P190" s="766"/>
      <c r="Q190" s="277"/>
      <c r="R190" s="766"/>
      <c r="S190" s="796"/>
      <c r="T190" s="175" t="s">
        <v>116</v>
      </c>
      <c r="U190" s="807"/>
      <c r="V190" s="766"/>
      <c r="W190" s="766"/>
      <c r="X190" s="766"/>
      <c r="Y190" s="766"/>
      <c r="Z190" s="796"/>
      <c r="AA190" s="766"/>
      <c r="AD190" s="33" t="str">
        <f t="shared" ref="AD190" si="36">C189&amp;F190</f>
        <v>NigeriaUSD bn</v>
      </c>
      <c r="AE190" s="33"/>
    </row>
    <row r="191" spans="1:31" ht="80.5" customHeight="1">
      <c r="A191" s="1268"/>
      <c r="B191" s="1268"/>
      <c r="C191" s="1257"/>
      <c r="D191" s="803"/>
      <c r="E191" s="12"/>
      <c r="F191" s="53" t="s">
        <v>117</v>
      </c>
      <c r="G191" s="252" t="e">
        <f>(G189/VLOOKUP($C189,#REF!,4,0))*100</f>
        <v>#REF!</v>
      </c>
      <c r="H191" s="252" t="e">
        <f>(H189/VLOOKUP($C189,#REF!,4,0))*100</f>
        <v>#REF!</v>
      </c>
      <c r="I191" s="1186"/>
      <c r="J191" s="252" t="e">
        <f>(J189/VLOOKUP($C189,#REF!,4,0))*100</f>
        <v>#REF!</v>
      </c>
      <c r="K191" s="1186"/>
      <c r="L191" s="767"/>
      <c r="M191" s="767"/>
      <c r="N191" s="12"/>
      <c r="O191" s="53" t="s">
        <v>117</v>
      </c>
      <c r="P191" s="804"/>
      <c r="Q191" s="267"/>
      <c r="R191" s="804"/>
      <c r="S191" s="12"/>
      <c r="T191" s="53" t="s">
        <v>117</v>
      </c>
      <c r="U191" s="252"/>
      <c r="V191" s="767"/>
      <c r="W191" s="767"/>
      <c r="X191" s="767"/>
      <c r="Y191" s="767"/>
      <c r="Z191" s="52"/>
      <c r="AA191" s="788"/>
      <c r="AD191" s="33" t="str">
        <f t="shared" ref="AD191" si="37">C189&amp;F191</f>
        <v>Nigeria% GDP</v>
      </c>
    </row>
    <row r="192" spans="1:31" ht="60.65" customHeight="1">
      <c r="A192" s="1268">
        <v>0</v>
      </c>
      <c r="B192" s="1268" t="s">
        <v>862</v>
      </c>
      <c r="C192" s="1256" t="s">
        <v>93</v>
      </c>
      <c r="D192" s="1266" t="s">
        <v>571</v>
      </c>
      <c r="E192" s="14"/>
      <c r="F192" s="38" t="s">
        <v>115</v>
      </c>
      <c r="G192" s="255">
        <f>H192+J192</f>
        <v>446</v>
      </c>
      <c r="H192" s="255">
        <v>79</v>
      </c>
      <c r="I192" s="1193" t="s">
        <v>654</v>
      </c>
      <c r="J192" s="778">
        <f>327+40</f>
        <v>367</v>
      </c>
      <c r="K192" s="1193" t="s">
        <v>1210</v>
      </c>
      <c r="L192" s="776">
        <v>15</v>
      </c>
      <c r="M192" s="1193" t="s">
        <v>584</v>
      </c>
      <c r="N192" s="14"/>
      <c r="O192" s="175" t="s">
        <v>115</v>
      </c>
      <c r="P192" s="255">
        <f>Q192+U192+W192</f>
        <v>70</v>
      </c>
      <c r="Q192" s="282"/>
      <c r="R192" s="1190"/>
      <c r="S192" s="14"/>
      <c r="T192" s="175" t="s">
        <v>115</v>
      </c>
      <c r="U192" s="255">
        <v>70</v>
      </c>
      <c r="V192" s="1184" t="s">
        <v>814</v>
      </c>
      <c r="W192" s="765"/>
      <c r="X192" s="765"/>
      <c r="Y192" s="765"/>
      <c r="Z192" s="14"/>
      <c r="AA192" s="765"/>
      <c r="AD192" s="33" t="str">
        <f t="shared" ref="AD192" si="38">C192&amp;F192</f>
        <v>SenegalLC bn</v>
      </c>
    </row>
    <row r="193" spans="1:30" ht="60.65" customHeight="1">
      <c r="A193" s="1268"/>
      <c r="B193" s="1268"/>
      <c r="C193" s="1256"/>
      <c r="D193" s="1266"/>
      <c r="E193" s="37"/>
      <c r="F193" s="175" t="s">
        <v>116</v>
      </c>
      <c r="G193" s="258" t="e">
        <f>G192/VLOOKUP($C192,#REF!,7,0)</f>
        <v>#REF!</v>
      </c>
      <c r="H193" s="258" t="e">
        <f>H192/VLOOKUP($C192,#REF!,7,0)</f>
        <v>#REF!</v>
      </c>
      <c r="I193" s="1196"/>
      <c r="J193" s="258" t="e">
        <f>J192/VLOOKUP($C192,#REF!,7,0)</f>
        <v>#REF!</v>
      </c>
      <c r="K193" s="1216"/>
      <c r="L193" s="258" t="e">
        <f>L192/VLOOKUP($C192,#REF!,7,0)</f>
        <v>#REF!</v>
      </c>
      <c r="M193" s="1216"/>
      <c r="N193" s="37"/>
      <c r="O193" s="175" t="s">
        <v>116</v>
      </c>
      <c r="P193" s="269" t="e">
        <f>Q193+U193+W193</f>
        <v>#REF!</v>
      </c>
      <c r="Q193" s="269"/>
      <c r="R193" s="1191"/>
      <c r="S193" s="37"/>
      <c r="T193" s="175" t="s">
        <v>116</v>
      </c>
      <c r="U193" s="258" t="e">
        <f>U192/VLOOKUP($C192,#REF!,7,0)</f>
        <v>#REF!</v>
      </c>
      <c r="V193" s="1219"/>
      <c r="W193" s="766"/>
      <c r="X193" s="766"/>
      <c r="Y193" s="766"/>
      <c r="Z193" s="37"/>
      <c r="AA193" s="766"/>
      <c r="AD193" s="33" t="str">
        <f t="shared" ref="AD193" si="39">C192&amp;F193</f>
        <v>SenegalUSD bn</v>
      </c>
    </row>
    <row r="194" spans="1:30" ht="60.65" customHeight="1">
      <c r="A194" s="1268"/>
      <c r="B194" s="1268"/>
      <c r="C194" s="1257"/>
      <c r="D194" s="1261"/>
      <c r="E194" s="12"/>
      <c r="F194" s="53" t="s">
        <v>117</v>
      </c>
      <c r="G194" s="252" t="e">
        <f>(G192/VLOOKUP($C192,#REF!,4,0))*100</f>
        <v>#REF!</v>
      </c>
      <c r="H194" s="252" t="e">
        <f>(H192/VLOOKUP($C192,#REF!,4,0))*100</f>
        <v>#REF!</v>
      </c>
      <c r="I194" s="1197"/>
      <c r="J194" s="252" t="e">
        <f>(J192/VLOOKUP($C192,#REF!,4,0))*100</f>
        <v>#REF!</v>
      </c>
      <c r="K194" s="1197"/>
      <c r="L194" s="252" t="e">
        <f>(L192/VLOOKUP($C192,#REF!,4,0))*100</f>
        <v>#REF!</v>
      </c>
      <c r="M194" s="1197"/>
      <c r="N194" s="12"/>
      <c r="O194" s="53" t="s">
        <v>117</v>
      </c>
      <c r="P194" s="267" t="e">
        <f>Q194+U194+W194</f>
        <v>#REF!</v>
      </c>
      <c r="Q194" s="267"/>
      <c r="R194" s="1192"/>
      <c r="S194" s="12"/>
      <c r="T194" s="53" t="s">
        <v>117</v>
      </c>
      <c r="U194" s="252" t="e">
        <f>(U192/VLOOKUP($C192,#REF!,4,0))*100</f>
        <v>#REF!</v>
      </c>
      <c r="V194" s="1186"/>
      <c r="W194" s="767"/>
      <c r="X194" s="767"/>
      <c r="Y194" s="767"/>
      <c r="Z194" s="52"/>
      <c r="AA194" s="788"/>
      <c r="AD194" s="33" t="str">
        <f t="shared" ref="AD194" si="40">C192&amp;F194</f>
        <v>Senegal% GDP</v>
      </c>
    </row>
    <row r="195" spans="1:30" ht="174" customHeight="1">
      <c r="A195" s="1268">
        <v>0</v>
      </c>
      <c r="B195" s="1268" t="s">
        <v>862</v>
      </c>
      <c r="C195" s="1255" t="s">
        <v>913</v>
      </c>
      <c r="D195" s="1259" t="s">
        <v>570</v>
      </c>
      <c r="E195" s="35"/>
      <c r="F195" s="38" t="s">
        <v>115</v>
      </c>
      <c r="G195" s="186">
        <v>15000</v>
      </c>
      <c r="H195" s="186">
        <v>1625</v>
      </c>
      <c r="I195" s="1184" t="s">
        <v>1173</v>
      </c>
      <c r="J195" s="186">
        <f>G195-H195</f>
        <v>13375</v>
      </c>
      <c r="K195" s="1184" t="s">
        <v>1174</v>
      </c>
      <c r="L195" s="258"/>
      <c r="M195" s="774"/>
      <c r="N195" s="35"/>
      <c r="O195" s="38" t="s">
        <v>115</v>
      </c>
      <c r="P195" s="186">
        <f>Q195+U195</f>
        <v>2000</v>
      </c>
      <c r="Q195" s="186">
        <v>2000</v>
      </c>
      <c r="R195" s="771" t="s">
        <v>1175</v>
      </c>
      <c r="S195" s="35"/>
      <c r="T195" s="38" t="s">
        <v>115</v>
      </c>
      <c r="U195" s="258"/>
      <c r="V195" s="766"/>
      <c r="W195" s="766"/>
      <c r="X195" s="766"/>
      <c r="Y195" s="766"/>
      <c r="AA195" s="787"/>
      <c r="AD195" s="33" t="str">
        <f t="shared" ref="AD195" si="41">C195&amp;F195</f>
        <v>UzbekistanLC bn</v>
      </c>
    </row>
    <row r="196" spans="1:30" ht="139.5" customHeight="1">
      <c r="A196" s="1268"/>
      <c r="B196" s="1268"/>
      <c r="C196" s="1256"/>
      <c r="D196" s="1260"/>
      <c r="E196" s="35"/>
      <c r="F196" s="175" t="s">
        <v>116</v>
      </c>
      <c r="G196" s="258" t="e">
        <f>G195/VLOOKUP($C195,#REF!,7,0)</f>
        <v>#REF!</v>
      </c>
      <c r="H196" s="258" t="e">
        <f>H195/VLOOKUP($C195,#REF!,7,0)</f>
        <v>#REF!</v>
      </c>
      <c r="I196" s="1185"/>
      <c r="J196" s="258" t="e">
        <f>J195/VLOOKUP($C195,#REF!,7,0)</f>
        <v>#REF!</v>
      </c>
      <c r="K196" s="1185"/>
      <c r="L196" s="258"/>
      <c r="M196" s="774"/>
      <c r="N196" s="35"/>
      <c r="O196" s="175" t="s">
        <v>116</v>
      </c>
      <c r="P196" s="269" t="e">
        <f>Q196+U196</f>
        <v>#REF!</v>
      </c>
      <c r="Q196" s="258" t="e">
        <f>Q195/VLOOKUP($C195,#REF!,7,0)</f>
        <v>#REF!</v>
      </c>
      <c r="R196" s="771"/>
      <c r="S196" s="35"/>
      <c r="T196" s="175" t="s">
        <v>116</v>
      </c>
      <c r="U196" s="258"/>
      <c r="V196" s="766"/>
      <c r="W196" s="766"/>
      <c r="X196" s="766"/>
      <c r="Y196" s="766"/>
      <c r="AA196" s="787"/>
      <c r="AD196" s="33" t="str">
        <f t="shared" ref="AD196" si="42">C195&amp;F196</f>
        <v>UzbekistanUSD bn</v>
      </c>
    </row>
    <row r="197" spans="1:30" ht="151.5" customHeight="1">
      <c r="A197" s="1268"/>
      <c r="B197" s="1268"/>
      <c r="C197" s="1257"/>
      <c r="D197" s="1261"/>
      <c r="E197" s="35"/>
      <c r="F197" s="53" t="s">
        <v>117</v>
      </c>
      <c r="G197" s="258" t="e">
        <f>(G195/VLOOKUP($C195,#REF!,4,0))*100</f>
        <v>#REF!</v>
      </c>
      <c r="H197" s="258" t="e">
        <f>(H195/VLOOKUP($C195,#REF!,4,0))*100</f>
        <v>#REF!</v>
      </c>
      <c r="I197" s="1186"/>
      <c r="J197" s="258" t="e">
        <f>(J195/VLOOKUP($C195,#REF!,4,0))*100</f>
        <v>#REF!</v>
      </c>
      <c r="K197" s="1186"/>
      <c r="L197" s="258"/>
      <c r="M197" s="774"/>
      <c r="N197" s="35"/>
      <c r="O197" s="53" t="s">
        <v>117</v>
      </c>
      <c r="P197" s="269" t="e">
        <f>Q197+U197</f>
        <v>#REF!</v>
      </c>
      <c r="Q197" s="258" t="e">
        <f>(Q195/VLOOKUP($C195,#REF!,4,0))*100</f>
        <v>#REF!</v>
      </c>
      <c r="R197" s="771"/>
      <c r="S197" s="35"/>
      <c r="T197" s="53" t="s">
        <v>117</v>
      </c>
      <c r="U197" s="258"/>
      <c r="V197" s="766"/>
      <c r="W197" s="766"/>
      <c r="X197" s="766"/>
      <c r="Y197" s="766"/>
      <c r="AA197" s="787"/>
      <c r="AD197" s="33" t="str">
        <f t="shared" ref="AD197" si="43">C195&amp;F197</f>
        <v>Uzbekistan% GDP</v>
      </c>
    </row>
    <row r="198" spans="1:30" ht="98.15" customHeight="1">
      <c r="A198" s="1268">
        <v>0</v>
      </c>
      <c r="B198" s="1268" t="s">
        <v>862</v>
      </c>
      <c r="C198" s="1256" t="s">
        <v>33</v>
      </c>
      <c r="D198" s="1266" t="s">
        <v>583</v>
      </c>
      <c r="E198" s="14"/>
      <c r="F198" s="38" t="s">
        <v>115</v>
      </c>
      <c r="G198" s="186">
        <f>278500-L198</f>
        <v>98500</v>
      </c>
      <c r="H198" s="186">
        <v>16200</v>
      </c>
      <c r="I198" s="1220" t="s">
        <v>757</v>
      </c>
      <c r="J198" s="485">
        <f>G198-H198</f>
        <v>82300</v>
      </c>
      <c r="K198" s="1184" t="s">
        <v>758</v>
      </c>
      <c r="L198" s="186">
        <v>180000</v>
      </c>
      <c r="M198" s="1258" t="s">
        <v>759</v>
      </c>
      <c r="N198" s="14"/>
      <c r="O198" s="175" t="s">
        <v>115</v>
      </c>
      <c r="P198" s="186">
        <f>SUM(Q198,W198)</f>
        <v>21500</v>
      </c>
      <c r="Q198" s="186">
        <v>9500</v>
      </c>
      <c r="R198" s="765" t="s">
        <v>1172</v>
      </c>
      <c r="S198" s="14"/>
      <c r="T198" s="175" t="s">
        <v>115</v>
      </c>
      <c r="U198" s="806"/>
      <c r="V198" s="765"/>
      <c r="W198" s="186">
        <v>12000</v>
      </c>
      <c r="X198" s="1184" t="s">
        <v>760</v>
      </c>
      <c r="Y198" s="1184" t="s">
        <v>295</v>
      </c>
      <c r="Z198" s="14"/>
      <c r="AA198" s="765"/>
      <c r="AD198" s="33" t="str">
        <f t="shared" ref="AD198" si="44">C198&amp;F198</f>
        <v>VietnamLC bn</v>
      </c>
    </row>
    <row r="199" spans="1:30" ht="111.65" customHeight="1">
      <c r="A199" s="1268"/>
      <c r="B199" s="1268"/>
      <c r="C199" s="1256"/>
      <c r="D199" s="1266"/>
      <c r="E199" s="35"/>
      <c r="F199" s="175" t="s">
        <v>116</v>
      </c>
      <c r="G199" s="258" t="e">
        <f>G198/VLOOKUP($C198,#REF!,7,0)</f>
        <v>#REF!</v>
      </c>
      <c r="H199" s="258" t="e">
        <f>H198/VLOOKUP($C198,#REF!,7,0)</f>
        <v>#REF!</v>
      </c>
      <c r="I199" s="1287"/>
      <c r="J199" s="258" t="e">
        <f>J198/VLOOKUP($C198,#REF!,7,0)</f>
        <v>#REF!</v>
      </c>
      <c r="K199" s="1185"/>
      <c r="L199" s="258" t="e">
        <f>L198/VLOOKUP($C198,#REF!,7,0)</f>
        <v>#REF!</v>
      </c>
      <c r="M199" s="1284"/>
      <c r="N199" s="35"/>
      <c r="O199" s="175" t="s">
        <v>116</v>
      </c>
      <c r="P199" s="473" t="e">
        <f>P198/VLOOKUP($C198,#REF!,7,0)</f>
        <v>#REF!</v>
      </c>
      <c r="Q199" s="473" t="e">
        <f>Q198/VLOOKUP($C198,#REF!,7,0)</f>
        <v>#REF!</v>
      </c>
      <c r="R199" s="766"/>
      <c r="S199" s="35"/>
      <c r="T199" s="175" t="s">
        <v>116</v>
      </c>
      <c r="U199" s="258"/>
      <c r="V199" s="766"/>
      <c r="W199" s="473" t="e">
        <f>W198/VLOOKUP($C198,#REF!,7,0)</f>
        <v>#REF!</v>
      </c>
      <c r="X199" s="1185"/>
      <c r="Y199" s="1185"/>
      <c r="AA199" s="787"/>
      <c r="AD199" s="33" t="str">
        <f t="shared" ref="AD199" si="45">C198&amp;F199</f>
        <v>VietnamUSD bn</v>
      </c>
    </row>
    <row r="200" spans="1:30" ht="97.5" customHeight="1">
      <c r="A200" s="1268"/>
      <c r="B200" s="1268"/>
      <c r="C200" s="1257"/>
      <c r="D200" s="1261"/>
      <c r="E200" s="12"/>
      <c r="F200" s="53" t="s">
        <v>117</v>
      </c>
      <c r="G200" s="252" t="e">
        <f>(G198/VLOOKUP($C198,#REF!,4,0))*100</f>
        <v>#REF!</v>
      </c>
      <c r="H200" s="252" t="e">
        <f>(H198/VLOOKUP($C198,#REF!,4,0))*100</f>
        <v>#REF!</v>
      </c>
      <c r="I200" s="1222"/>
      <c r="J200" s="252" t="e">
        <f>(J198/VLOOKUP($C198,#REF!,4,0))*100</f>
        <v>#REF!</v>
      </c>
      <c r="K200" s="1186"/>
      <c r="L200" s="252" t="e">
        <f>(L198/VLOOKUP($C198,#REF!,4,0))*100</f>
        <v>#REF!</v>
      </c>
      <c r="M200" s="1243"/>
      <c r="N200" s="12"/>
      <c r="O200" s="53" t="s">
        <v>117</v>
      </c>
      <c r="P200" s="552" t="e">
        <f>(P198/VLOOKUP($C198,#REF!,4,0))*100</f>
        <v>#REF!</v>
      </c>
      <c r="Q200" s="552" t="e">
        <f>(Q198/VLOOKUP($C198,#REF!,4,0))*100</f>
        <v>#REF!</v>
      </c>
      <c r="R200" s="767"/>
      <c r="S200" s="12"/>
      <c r="T200" s="53" t="s">
        <v>117</v>
      </c>
      <c r="U200" s="252"/>
      <c r="V200" s="767"/>
      <c r="W200" s="552" t="e">
        <f>(W198/VLOOKUP($C198,#REF!,4,0))*100</f>
        <v>#REF!</v>
      </c>
      <c r="X200" s="1186"/>
      <c r="Y200" s="1186"/>
      <c r="Z200" s="52"/>
      <c r="AA200" s="788"/>
      <c r="AD200" s="33" t="str">
        <f t="shared" ref="AD200" si="46">C198&amp;F200</f>
        <v>Vietnam% GDP</v>
      </c>
    </row>
    <row r="201" spans="1:30" ht="58.5" customHeight="1">
      <c r="A201" s="1268">
        <v>0</v>
      </c>
      <c r="B201" s="1268" t="s">
        <v>862</v>
      </c>
      <c r="C201" s="1255" t="s">
        <v>916</v>
      </c>
      <c r="D201" s="1259" t="s">
        <v>571</v>
      </c>
      <c r="E201" s="16"/>
      <c r="F201" s="38" t="s">
        <v>115</v>
      </c>
      <c r="G201" s="286">
        <v>7.1</v>
      </c>
      <c r="H201" s="286">
        <v>1</v>
      </c>
      <c r="I201" s="1184" t="s">
        <v>1176</v>
      </c>
      <c r="J201" s="286">
        <v>6.1</v>
      </c>
      <c r="K201" s="1184" t="s">
        <v>1177</v>
      </c>
      <c r="L201" s="286"/>
      <c r="M201" s="792"/>
      <c r="N201" s="16"/>
      <c r="O201" s="38" t="s">
        <v>115</v>
      </c>
      <c r="P201" s="733">
        <f>Q201+U201+W201</f>
        <v>0.9</v>
      </c>
      <c r="Q201" s="733">
        <v>0.9</v>
      </c>
      <c r="R201" s="765" t="s">
        <v>1178</v>
      </c>
      <c r="S201" s="16"/>
      <c r="T201" s="38" t="s">
        <v>115</v>
      </c>
      <c r="U201" s="286"/>
      <c r="V201" s="765"/>
      <c r="W201" s="733"/>
      <c r="X201" s="765"/>
      <c r="Y201" s="766"/>
      <c r="AA201" s="787"/>
      <c r="AD201" s="33" t="str">
        <f t="shared" ref="AD201" si="47">C201&amp;F201</f>
        <v>ZambiaLC bn</v>
      </c>
    </row>
    <row r="202" spans="1:30" ht="82" customHeight="1">
      <c r="A202" s="1268"/>
      <c r="B202" s="1268"/>
      <c r="C202" s="1256"/>
      <c r="D202" s="1260"/>
      <c r="E202" s="35"/>
      <c r="F202" s="175" t="s">
        <v>116</v>
      </c>
      <c r="G202" s="258" t="e">
        <f>G201/VLOOKUP($C201,#REF!,7,0)</f>
        <v>#REF!</v>
      </c>
      <c r="H202" s="258" t="e">
        <f>H201/VLOOKUP($C201,#REF!,7,0)</f>
        <v>#REF!</v>
      </c>
      <c r="I202" s="1185"/>
      <c r="J202" s="258" t="e">
        <f>J201/VLOOKUP($C201,#REF!,7,0)</f>
        <v>#REF!</v>
      </c>
      <c r="K202" s="1185"/>
      <c r="L202" s="258"/>
      <c r="M202" s="793"/>
      <c r="N202" s="35"/>
      <c r="O202" s="175" t="s">
        <v>116</v>
      </c>
      <c r="P202" s="473" t="e">
        <f>SUM(Q202,U202,W202)</f>
        <v>#REF!</v>
      </c>
      <c r="Q202" s="258" t="e">
        <f>Q201/VLOOKUP($C201,#REF!,7,0)</f>
        <v>#REF!</v>
      </c>
      <c r="R202" s="766"/>
      <c r="S202" s="35"/>
      <c r="T202" s="175" t="s">
        <v>116</v>
      </c>
      <c r="U202" s="258"/>
      <c r="V202" s="766"/>
      <c r="W202" s="473"/>
      <c r="X202" s="766"/>
      <c r="Y202" s="766"/>
      <c r="AA202" s="787"/>
      <c r="AD202" s="33" t="str">
        <f t="shared" ref="AD202" si="48">C201&amp;F202</f>
        <v>ZambiaUSD bn</v>
      </c>
    </row>
    <row r="203" spans="1:30" ht="47.5" customHeight="1">
      <c r="A203" s="1268"/>
      <c r="B203" s="1268"/>
      <c r="C203" s="1257"/>
      <c r="D203" s="1261"/>
      <c r="E203" s="12"/>
      <c r="F203" s="53" t="s">
        <v>117</v>
      </c>
      <c r="G203" s="252" t="e">
        <f>(G201/VLOOKUP($C201,#REF!,4,0))*100</f>
        <v>#REF!</v>
      </c>
      <c r="H203" s="252" t="e">
        <f>(H201/VLOOKUP($C201,#REF!,4,0))*100</f>
        <v>#REF!</v>
      </c>
      <c r="I203" s="1186"/>
      <c r="J203" s="252" t="e">
        <f>(J201/VLOOKUP($C201,#REF!,4,0))*100</f>
        <v>#REF!</v>
      </c>
      <c r="K203" s="1186"/>
      <c r="L203" s="252"/>
      <c r="M203" s="794"/>
      <c r="N203" s="12"/>
      <c r="O203" s="53" t="s">
        <v>117</v>
      </c>
      <c r="P203" s="552" t="e">
        <f>Q203+U203+W203</f>
        <v>#REF!</v>
      </c>
      <c r="Q203" s="252" t="e">
        <f>(Q201/VLOOKUP($C201,#REF!,4,0))*100</f>
        <v>#REF!</v>
      </c>
      <c r="R203" s="767"/>
      <c r="S203" s="12"/>
      <c r="T203" s="53" t="s">
        <v>117</v>
      </c>
      <c r="U203" s="252"/>
      <c r="V203" s="767"/>
      <c r="W203" s="552"/>
      <c r="X203" s="767"/>
      <c r="Y203" s="766"/>
      <c r="AA203" s="787"/>
      <c r="AD203" s="33" t="str">
        <f t="shared" ref="AD203" si="49">C201&amp;F203</f>
        <v>Zambia% GDP</v>
      </c>
    </row>
    <row r="204" spans="1:30">
      <c r="C204" s="35" t="s">
        <v>108</v>
      </c>
    </row>
    <row r="205" spans="1:30" ht="32.15" customHeight="1">
      <c r="C205" s="1245" t="s">
        <v>1211</v>
      </c>
      <c r="D205" s="1245"/>
      <c r="E205" s="1245"/>
      <c r="F205" s="1245"/>
      <c r="G205" s="1245"/>
      <c r="H205" s="1245"/>
      <c r="I205" s="1245"/>
      <c r="J205" s="1245"/>
      <c r="K205" s="1245"/>
      <c r="L205" s="1245"/>
      <c r="M205" s="1245"/>
      <c r="N205" s="1245"/>
      <c r="O205" s="1245"/>
      <c r="P205" s="1245"/>
      <c r="Q205" s="1245"/>
      <c r="R205" s="1245"/>
      <c r="S205" s="1245"/>
      <c r="T205" s="1245"/>
      <c r="U205" s="1245"/>
      <c r="V205" s="1245"/>
      <c r="W205" s="1245"/>
      <c r="X205" s="1245"/>
    </row>
    <row r="206" spans="1:30">
      <c r="C206" s="35" t="s">
        <v>873</v>
      </c>
    </row>
    <row r="207" spans="1:30">
      <c r="C207" s="801"/>
    </row>
  </sheetData>
  <autoFilter ref="A5:F206" xr:uid="{70D8D969-D19A-4A37-9D57-5E4D8D57F6B2}"/>
  <mergeCells count="600">
    <mergeCell ref="C3:X3"/>
    <mergeCell ref="H4:M4"/>
    <mergeCell ref="Q4:R4"/>
    <mergeCell ref="T4:X4"/>
    <mergeCell ref="A6:A8"/>
    <mergeCell ref="B6:B8"/>
    <mergeCell ref="C6:C8"/>
    <mergeCell ref="D6:D8"/>
    <mergeCell ref="I6:I8"/>
    <mergeCell ref="K6:K8"/>
    <mergeCell ref="M6:M8"/>
    <mergeCell ref="R6:R8"/>
    <mergeCell ref="V6:V8"/>
    <mergeCell ref="Y6:Y8"/>
    <mergeCell ref="AA6:AA8"/>
    <mergeCell ref="A9:A11"/>
    <mergeCell ref="B9:B11"/>
    <mergeCell ref="C9:C11"/>
    <mergeCell ref="D9:D11"/>
    <mergeCell ref="I9:I11"/>
    <mergeCell ref="K9:K11"/>
    <mergeCell ref="M9:M11"/>
    <mergeCell ref="R9:R11"/>
    <mergeCell ref="V9:V11"/>
    <mergeCell ref="R15:R17"/>
    <mergeCell ref="V15:V17"/>
    <mergeCell ref="AB9:AB11"/>
    <mergeCell ref="A12:A14"/>
    <mergeCell ref="B12:B14"/>
    <mergeCell ref="C12:C14"/>
    <mergeCell ref="D12:D14"/>
    <mergeCell ref="I12:I14"/>
    <mergeCell ref="K12:K14"/>
    <mergeCell ref="R12:R14"/>
    <mergeCell ref="V12:V14"/>
    <mergeCell ref="Y12:Y14"/>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8:R20"/>
    <mergeCell ref="V18:V20"/>
    <mergeCell ref="Y18:Y20"/>
    <mergeCell ref="AA18:AA20"/>
    <mergeCell ref="A21:A23"/>
    <mergeCell ref="B21:B23"/>
    <mergeCell ref="C21:C23"/>
    <mergeCell ref="D21:D23"/>
    <mergeCell ref="I21:I23"/>
    <mergeCell ref="K21:K23"/>
    <mergeCell ref="A18:A20"/>
    <mergeCell ref="B18:B20"/>
    <mergeCell ref="C18:C20"/>
    <mergeCell ref="D18:D20"/>
    <mergeCell ref="I18:I20"/>
    <mergeCell ref="K18:K20"/>
    <mergeCell ref="M18:M20"/>
    <mergeCell ref="R24:R26"/>
    <mergeCell ref="V24:V26"/>
    <mergeCell ref="X24:X26"/>
    <mergeCell ref="Y24:Y26"/>
    <mergeCell ref="M21:M23"/>
    <mergeCell ref="R21:R23"/>
    <mergeCell ref="V21:V23"/>
    <mergeCell ref="X21:X23"/>
    <mergeCell ref="Y21:Y23"/>
    <mergeCell ref="M27:M29"/>
    <mergeCell ref="R27:R29"/>
    <mergeCell ref="V27:V29"/>
    <mergeCell ref="X27:X29"/>
    <mergeCell ref="Y27:Y29"/>
    <mergeCell ref="AA27:AA29"/>
    <mergeCell ref="A27:A29"/>
    <mergeCell ref="B27:B29"/>
    <mergeCell ref="C27:C29"/>
    <mergeCell ref="D27:D29"/>
    <mergeCell ref="I27:I29"/>
    <mergeCell ref="K27:K29"/>
    <mergeCell ref="M30:M32"/>
    <mergeCell ref="R30:R32"/>
    <mergeCell ref="V30:V32"/>
    <mergeCell ref="X30:X32"/>
    <mergeCell ref="AA30:AA32"/>
    <mergeCell ref="A33:A35"/>
    <mergeCell ref="B33:B35"/>
    <mergeCell ref="C33:C35"/>
    <mergeCell ref="D33:D35"/>
    <mergeCell ref="I33:I35"/>
    <mergeCell ref="A30:A32"/>
    <mergeCell ref="B30:B32"/>
    <mergeCell ref="C30:C32"/>
    <mergeCell ref="D30:D32"/>
    <mergeCell ref="I30:I32"/>
    <mergeCell ref="K30:K32"/>
    <mergeCell ref="AA33:AA35"/>
    <mergeCell ref="K33:K35"/>
    <mergeCell ref="M33:M35"/>
    <mergeCell ref="R33:R35"/>
    <mergeCell ref="V33:V35"/>
    <mergeCell ref="X33:X35"/>
    <mergeCell ref="Y33:Y35"/>
    <mergeCell ref="Y36:Y38"/>
    <mergeCell ref="A39:A41"/>
    <mergeCell ref="B39:B41"/>
    <mergeCell ref="C39:C41"/>
    <mergeCell ref="D39:D41"/>
    <mergeCell ref="I39:I41"/>
    <mergeCell ref="K39:K41"/>
    <mergeCell ref="M39:M41"/>
    <mergeCell ref="R39:R41"/>
    <mergeCell ref="V39:V41"/>
    <mergeCell ref="X39:X41"/>
    <mergeCell ref="A36:A38"/>
    <mergeCell ref="B36:B38"/>
    <mergeCell ref="C36:C38"/>
    <mergeCell ref="D36:D38"/>
    <mergeCell ref="I36:I38"/>
    <mergeCell ref="K36:K38"/>
    <mergeCell ref="M36:M38"/>
    <mergeCell ref="R36:R38"/>
    <mergeCell ref="V36:V38"/>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X48:X50"/>
    <mergeCell ref="AA48:AA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Y54:Y56"/>
    <mergeCell ref="AA54:AA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A60:A62"/>
    <mergeCell ref="B60:B62"/>
    <mergeCell ref="C60:C62"/>
    <mergeCell ref="D60:D62"/>
    <mergeCell ref="I60:I62"/>
    <mergeCell ref="K60:K62"/>
    <mergeCell ref="M60:M62"/>
    <mergeCell ref="R60:R62"/>
    <mergeCell ref="AA60:AA61"/>
    <mergeCell ref="X63:X65"/>
    <mergeCell ref="A66:A68"/>
    <mergeCell ref="B66:B68"/>
    <mergeCell ref="C66:C68"/>
    <mergeCell ref="D66:D68"/>
    <mergeCell ref="I66:I68"/>
    <mergeCell ref="K66:K68"/>
    <mergeCell ref="M66:M68"/>
    <mergeCell ref="R66:R68"/>
    <mergeCell ref="V66:V68"/>
    <mergeCell ref="X66:X68"/>
    <mergeCell ref="A63:A65"/>
    <mergeCell ref="B63:B65"/>
    <mergeCell ref="C63:C65"/>
    <mergeCell ref="D63:D65"/>
    <mergeCell ref="I63:I65"/>
    <mergeCell ref="K63:K65"/>
    <mergeCell ref="M63:M65"/>
    <mergeCell ref="R63:R65"/>
    <mergeCell ref="V63:V65"/>
    <mergeCell ref="A69:A71"/>
    <mergeCell ref="B69:B71"/>
    <mergeCell ref="C69:C71"/>
    <mergeCell ref="D69:D71"/>
    <mergeCell ref="I69:I71"/>
    <mergeCell ref="K69:K71"/>
    <mergeCell ref="M69:M71"/>
    <mergeCell ref="V69:V71"/>
    <mergeCell ref="A72:A74"/>
    <mergeCell ref="B72:B74"/>
    <mergeCell ref="C72:C74"/>
    <mergeCell ref="D72:D74"/>
    <mergeCell ref="I72:I74"/>
    <mergeCell ref="K72:K74"/>
    <mergeCell ref="M72:M74"/>
    <mergeCell ref="R72:R74"/>
    <mergeCell ref="V72:V74"/>
    <mergeCell ref="X72:X74"/>
    <mergeCell ref="A75:A77"/>
    <mergeCell ref="B75:B77"/>
    <mergeCell ref="C75:C77"/>
    <mergeCell ref="D75:D77"/>
    <mergeCell ref="I75:I77"/>
    <mergeCell ref="K75:K77"/>
    <mergeCell ref="M75:M77"/>
    <mergeCell ref="R75:R77"/>
    <mergeCell ref="V75:V77"/>
    <mergeCell ref="Y75:Y77"/>
    <mergeCell ref="A78:A80"/>
    <mergeCell ref="B78:B80"/>
    <mergeCell ref="C78:C80"/>
    <mergeCell ref="D78:D80"/>
    <mergeCell ref="I78:I80"/>
    <mergeCell ref="K78:K80"/>
    <mergeCell ref="M78:M80"/>
    <mergeCell ref="R78:R80"/>
    <mergeCell ref="V78:V80"/>
    <mergeCell ref="X78:X80"/>
    <mergeCell ref="Y78:Y79"/>
    <mergeCell ref="Y81:Y83"/>
    <mergeCell ref="AA81:AA83"/>
    <mergeCell ref="A84:A86"/>
    <mergeCell ref="B84:B86"/>
    <mergeCell ref="C84:C86"/>
    <mergeCell ref="D84:D86"/>
    <mergeCell ref="I84:I86"/>
    <mergeCell ref="K84:K86"/>
    <mergeCell ref="R84:R86"/>
    <mergeCell ref="V84:V86"/>
    <mergeCell ref="X84:X86"/>
    <mergeCell ref="A81:A83"/>
    <mergeCell ref="B81:B83"/>
    <mergeCell ref="C81:C83"/>
    <mergeCell ref="D81:D83"/>
    <mergeCell ref="I81:I83"/>
    <mergeCell ref="K81:K83"/>
    <mergeCell ref="M81:M83"/>
    <mergeCell ref="R81:R83"/>
    <mergeCell ref="V81:V83"/>
    <mergeCell ref="Y87:Y89"/>
    <mergeCell ref="AA87:AA89"/>
    <mergeCell ref="A90:A92"/>
    <mergeCell ref="B90:B92"/>
    <mergeCell ref="C90:C92"/>
    <mergeCell ref="D90:D92"/>
    <mergeCell ref="I90:I92"/>
    <mergeCell ref="K90:K92"/>
    <mergeCell ref="R90:R92"/>
    <mergeCell ref="V90:V92"/>
    <mergeCell ref="A87:A89"/>
    <mergeCell ref="B87:B89"/>
    <mergeCell ref="C87:C89"/>
    <mergeCell ref="D87:D89"/>
    <mergeCell ref="I87:I89"/>
    <mergeCell ref="K87:K89"/>
    <mergeCell ref="M87:M89"/>
    <mergeCell ref="R87:R89"/>
    <mergeCell ref="V87:V89"/>
    <mergeCell ref="A93:A95"/>
    <mergeCell ref="B93:B95"/>
    <mergeCell ref="C93:C95"/>
    <mergeCell ref="D93:D95"/>
    <mergeCell ref="I93:I95"/>
    <mergeCell ref="K93:K95"/>
    <mergeCell ref="M93:M95"/>
    <mergeCell ref="R93:R95"/>
    <mergeCell ref="V93:V95"/>
    <mergeCell ref="A99:A101"/>
    <mergeCell ref="B99:B101"/>
    <mergeCell ref="C99:C101"/>
    <mergeCell ref="D99:D101"/>
    <mergeCell ref="I99:I101"/>
    <mergeCell ref="K99:K101"/>
    <mergeCell ref="M99:M101"/>
    <mergeCell ref="A96:A98"/>
    <mergeCell ref="B96:B98"/>
    <mergeCell ref="C96:C98"/>
    <mergeCell ref="D96:D98"/>
    <mergeCell ref="I96:I98"/>
    <mergeCell ref="K96:K98"/>
    <mergeCell ref="V99:V101"/>
    <mergeCell ref="C102:C104"/>
    <mergeCell ref="D102:D104"/>
    <mergeCell ref="I102:I104"/>
    <mergeCell ref="K102:K104"/>
    <mergeCell ref="M102:M104"/>
    <mergeCell ref="V102:V104"/>
    <mergeCell ref="M96:M98"/>
    <mergeCell ref="R96:R98"/>
    <mergeCell ref="V96:V98"/>
    <mergeCell ref="M105:M107"/>
    <mergeCell ref="R105:R107"/>
    <mergeCell ref="V105:V107"/>
    <mergeCell ref="X105:X107"/>
    <mergeCell ref="Y105:Y107"/>
    <mergeCell ref="A108:A110"/>
    <mergeCell ref="B108:B110"/>
    <mergeCell ref="C108:C110"/>
    <mergeCell ref="D108:D110"/>
    <mergeCell ref="I108:I110"/>
    <mergeCell ref="A105:A107"/>
    <mergeCell ref="B105:B107"/>
    <mergeCell ref="C105:C107"/>
    <mergeCell ref="D105:D107"/>
    <mergeCell ref="I105:I107"/>
    <mergeCell ref="K105:K107"/>
    <mergeCell ref="AA108:AA110"/>
    <mergeCell ref="A111:A113"/>
    <mergeCell ref="B111:B113"/>
    <mergeCell ref="C111:C113"/>
    <mergeCell ref="D111:D113"/>
    <mergeCell ref="I111:I113"/>
    <mergeCell ref="K111:K113"/>
    <mergeCell ref="M111:M113"/>
    <mergeCell ref="R111:R113"/>
    <mergeCell ref="V111:V113"/>
    <mergeCell ref="K108:K110"/>
    <mergeCell ref="M108:M110"/>
    <mergeCell ref="R108:R110"/>
    <mergeCell ref="V108:V110"/>
    <mergeCell ref="X108:X110"/>
    <mergeCell ref="Y108:Y110"/>
    <mergeCell ref="M114:M116"/>
    <mergeCell ref="R114:R116"/>
    <mergeCell ref="V114:V116"/>
    <mergeCell ref="A117:A119"/>
    <mergeCell ref="B117:B119"/>
    <mergeCell ref="C117:C119"/>
    <mergeCell ref="D117:D119"/>
    <mergeCell ref="I117:I119"/>
    <mergeCell ref="K117:K119"/>
    <mergeCell ref="M117:M119"/>
    <mergeCell ref="A114:A116"/>
    <mergeCell ref="B114:B116"/>
    <mergeCell ref="C114:C116"/>
    <mergeCell ref="D114:D116"/>
    <mergeCell ref="I114:I116"/>
    <mergeCell ref="K114:K116"/>
    <mergeCell ref="R117:R119"/>
    <mergeCell ref="V117:V119"/>
    <mergeCell ref="A120:A122"/>
    <mergeCell ref="B120:B122"/>
    <mergeCell ref="C120:C122"/>
    <mergeCell ref="D120:D122"/>
    <mergeCell ref="I120:I122"/>
    <mergeCell ref="K120:K122"/>
    <mergeCell ref="M120:M122"/>
    <mergeCell ref="R120:R122"/>
    <mergeCell ref="A126:A128"/>
    <mergeCell ref="B126:B128"/>
    <mergeCell ref="C126:C128"/>
    <mergeCell ref="D126:D128"/>
    <mergeCell ref="I126:I128"/>
    <mergeCell ref="K126:K128"/>
    <mergeCell ref="V120:V122"/>
    <mergeCell ref="X120:X122"/>
    <mergeCell ref="C123:C125"/>
    <mergeCell ref="D123:D125"/>
    <mergeCell ref="I123:I125"/>
    <mergeCell ref="K123:K125"/>
    <mergeCell ref="M123:M125"/>
    <mergeCell ref="R123:R125"/>
    <mergeCell ref="V123:V125"/>
    <mergeCell ref="C132:C134"/>
    <mergeCell ref="D132:D134"/>
    <mergeCell ref="I132:I134"/>
    <mergeCell ref="K132:K134"/>
    <mergeCell ref="M132:M134"/>
    <mergeCell ref="V132:V134"/>
    <mergeCell ref="R126:R128"/>
    <mergeCell ref="V126:V128"/>
    <mergeCell ref="C129:C131"/>
    <mergeCell ref="D129:D131"/>
    <mergeCell ref="I129:I131"/>
    <mergeCell ref="K129:K131"/>
    <mergeCell ref="M129:M131"/>
    <mergeCell ref="V129:V131"/>
    <mergeCell ref="M135:M137"/>
    <mergeCell ref="X135:X137"/>
    <mergeCell ref="A138:A140"/>
    <mergeCell ref="B138:B140"/>
    <mergeCell ref="C138:C140"/>
    <mergeCell ref="D138:D140"/>
    <mergeCell ref="I138:I140"/>
    <mergeCell ref="K138:K140"/>
    <mergeCell ref="M138:M140"/>
    <mergeCell ref="V138:V140"/>
    <mergeCell ref="A135:A137"/>
    <mergeCell ref="B135:B137"/>
    <mergeCell ref="C135:C137"/>
    <mergeCell ref="D135:D137"/>
    <mergeCell ref="I135:I137"/>
    <mergeCell ref="K135:K137"/>
    <mergeCell ref="X138:X140"/>
    <mergeCell ref="A141:A143"/>
    <mergeCell ref="B141:B143"/>
    <mergeCell ref="C141:C143"/>
    <mergeCell ref="D141:D143"/>
    <mergeCell ref="I141:I143"/>
    <mergeCell ref="K141:K143"/>
    <mergeCell ref="R141:R143"/>
    <mergeCell ref="V141:V143"/>
    <mergeCell ref="X141:X143"/>
    <mergeCell ref="M144:M146"/>
    <mergeCell ref="R144:R146"/>
    <mergeCell ref="V144:V146"/>
    <mergeCell ref="X144:X146"/>
    <mergeCell ref="A147:A149"/>
    <mergeCell ref="B147:B149"/>
    <mergeCell ref="C147:C149"/>
    <mergeCell ref="D147:D149"/>
    <mergeCell ref="I147:I149"/>
    <mergeCell ref="K147:K149"/>
    <mergeCell ref="A144:A146"/>
    <mergeCell ref="B144:B146"/>
    <mergeCell ref="C144:C146"/>
    <mergeCell ref="D144:D146"/>
    <mergeCell ref="I144:I146"/>
    <mergeCell ref="K144:K146"/>
    <mergeCell ref="M147:M149"/>
    <mergeCell ref="R147:R149"/>
    <mergeCell ref="V147:V149"/>
    <mergeCell ref="C150:C152"/>
    <mergeCell ref="D150:D152"/>
    <mergeCell ref="I150:I152"/>
    <mergeCell ref="K150:K152"/>
    <mergeCell ref="M150:M152"/>
    <mergeCell ref="V150:V152"/>
    <mergeCell ref="M153:M155"/>
    <mergeCell ref="R153:R155"/>
    <mergeCell ref="V153:V155"/>
    <mergeCell ref="X153:X155"/>
    <mergeCell ref="A156:A158"/>
    <mergeCell ref="B156:B158"/>
    <mergeCell ref="C156:C158"/>
    <mergeCell ref="D156:D158"/>
    <mergeCell ref="I156:I158"/>
    <mergeCell ref="K156:K158"/>
    <mergeCell ref="A153:A155"/>
    <mergeCell ref="B153:B155"/>
    <mergeCell ref="C153:C155"/>
    <mergeCell ref="D153:D155"/>
    <mergeCell ref="I153:I155"/>
    <mergeCell ref="K153:K155"/>
    <mergeCell ref="M156:M158"/>
    <mergeCell ref="R156:R158"/>
    <mergeCell ref="V156:V158"/>
    <mergeCell ref="Y156:Y158"/>
    <mergeCell ref="A159:A161"/>
    <mergeCell ref="B159:B161"/>
    <mergeCell ref="C159:C161"/>
    <mergeCell ref="D159:D161"/>
    <mergeCell ref="I159:I161"/>
    <mergeCell ref="K159:K161"/>
    <mergeCell ref="R159:R161"/>
    <mergeCell ref="V159:V161"/>
    <mergeCell ref="X159:X161"/>
    <mergeCell ref="A162:A164"/>
    <mergeCell ref="B162:B164"/>
    <mergeCell ref="C162:C164"/>
    <mergeCell ref="D162:D164"/>
    <mergeCell ref="I162:I164"/>
    <mergeCell ref="K162:K164"/>
    <mergeCell ref="R162:R164"/>
    <mergeCell ref="R165:R167"/>
    <mergeCell ref="A168:A170"/>
    <mergeCell ref="B168:B170"/>
    <mergeCell ref="C168:C170"/>
    <mergeCell ref="D168:D170"/>
    <mergeCell ref="I168:I170"/>
    <mergeCell ref="K168:K170"/>
    <mergeCell ref="M168:M170"/>
    <mergeCell ref="R168:R170"/>
    <mergeCell ref="A165:A167"/>
    <mergeCell ref="B165:B167"/>
    <mergeCell ref="C165:C167"/>
    <mergeCell ref="D165:D167"/>
    <mergeCell ref="I165:I167"/>
    <mergeCell ref="K165:K167"/>
    <mergeCell ref="R171:R173"/>
    <mergeCell ref="A174:A176"/>
    <mergeCell ref="B174:B176"/>
    <mergeCell ref="C174:C176"/>
    <mergeCell ref="D174:D176"/>
    <mergeCell ref="I174:I176"/>
    <mergeCell ref="K174:K176"/>
    <mergeCell ref="M174:M176"/>
    <mergeCell ref="A171:A173"/>
    <mergeCell ref="B171:B173"/>
    <mergeCell ref="C171:C173"/>
    <mergeCell ref="D171:D173"/>
    <mergeCell ref="I171:I173"/>
    <mergeCell ref="K171:K173"/>
    <mergeCell ref="V174:V176"/>
    <mergeCell ref="X174:X176"/>
    <mergeCell ref="A177:A179"/>
    <mergeCell ref="B177:B179"/>
    <mergeCell ref="C177:C179"/>
    <mergeCell ref="D177:D179"/>
    <mergeCell ref="I177:I179"/>
    <mergeCell ref="K177:K179"/>
    <mergeCell ref="M177:M179"/>
    <mergeCell ref="A186:A188"/>
    <mergeCell ref="B186:B188"/>
    <mergeCell ref="C186:C188"/>
    <mergeCell ref="D186:D188"/>
    <mergeCell ref="I186:I188"/>
    <mergeCell ref="K186:K188"/>
    <mergeCell ref="R180:R182"/>
    <mergeCell ref="A183:A185"/>
    <mergeCell ref="B183:B185"/>
    <mergeCell ref="C183:C185"/>
    <mergeCell ref="D183:D185"/>
    <mergeCell ref="I183:I185"/>
    <mergeCell ref="K183:K185"/>
    <mergeCell ref="A180:A182"/>
    <mergeCell ref="B180:B182"/>
    <mergeCell ref="C180:C182"/>
    <mergeCell ref="D180:D182"/>
    <mergeCell ref="I180:I182"/>
    <mergeCell ref="K180:K182"/>
    <mergeCell ref="A189:A191"/>
    <mergeCell ref="B189:B191"/>
    <mergeCell ref="C189:C191"/>
    <mergeCell ref="I189:I191"/>
    <mergeCell ref="K189:K191"/>
    <mergeCell ref="A192:A194"/>
    <mergeCell ref="B192:B194"/>
    <mergeCell ref="C192:C194"/>
    <mergeCell ref="D192:D194"/>
    <mergeCell ref="I192:I194"/>
    <mergeCell ref="K192:K194"/>
    <mergeCell ref="M192:M194"/>
    <mergeCell ref="R192:R194"/>
    <mergeCell ref="V192:V194"/>
    <mergeCell ref="A195:A197"/>
    <mergeCell ref="B195:B197"/>
    <mergeCell ref="C195:C197"/>
    <mergeCell ref="D195:D197"/>
    <mergeCell ref="I195:I197"/>
    <mergeCell ref="K195:K197"/>
    <mergeCell ref="C205:X205"/>
    <mergeCell ref="M198:M200"/>
    <mergeCell ref="X198:X200"/>
    <mergeCell ref="Y198:Y200"/>
    <mergeCell ref="A201:A203"/>
    <mergeCell ref="B201:B203"/>
    <mergeCell ref="C201:C203"/>
    <mergeCell ref="D201:D203"/>
    <mergeCell ref="I201:I203"/>
    <mergeCell ref="K201:K203"/>
    <mergeCell ref="A198:A200"/>
    <mergeCell ref="B198:B200"/>
    <mergeCell ref="C198:C200"/>
    <mergeCell ref="D198:D200"/>
    <mergeCell ref="I198:I200"/>
    <mergeCell ref="K198:K200"/>
  </mergeCells>
  <hyperlinks>
    <hyperlink ref="AA48" r:id="rId1" xr:uid="{F753FBDB-1344-4020-80A2-247CB354525A}"/>
    <hyperlink ref="AA60" r:id="rId2" xr:uid="{BF6ECF32-B165-4ADD-B2D5-1EFB662B1C35}"/>
    <hyperlink ref="AA9" r:id="rId3" xr:uid="{729A230C-4564-41C8-8E8C-03EB6BE8C6D1}"/>
    <hyperlink ref="AA15" r:id="rId4" xr:uid="{4E0A727E-4DA1-4C64-8208-B14857AC5B1E}"/>
    <hyperlink ref="AA21" r:id="rId5" xr:uid="{093C54F6-FEC8-4ADC-AD53-4A5C3A22F5CF}"/>
    <hyperlink ref="AA18" r:id="rId6" xr:uid="{2AF915C2-D641-48D3-968C-BF9E65423820}"/>
    <hyperlink ref="AA27" r:id="rId7" xr:uid="{DC36CFBB-3848-4882-AE4C-BECA4768920E}"/>
    <hyperlink ref="AA33" r:id="rId8" xr:uid="{844409F3-DE1C-4449-B428-F03809D9C6C9}"/>
    <hyperlink ref="AA78" r:id="rId9" xr:uid="{FBFBF83B-1EF2-4BE8-B698-FD57B8B6971F}"/>
    <hyperlink ref="AA81" r:id="rId10" xr:uid="{C9B2F04A-078F-442E-A017-36F04A4D5061}"/>
    <hyperlink ref="AA87" r:id="rId11" xr:uid="{0EF0B9AB-CAE2-4A5A-A2E8-9CCBEC7E4846}"/>
    <hyperlink ref="AA30" r:id="rId12" xr:uid="{5F57FAB1-7E48-4222-8399-E707F3AFBD39}"/>
    <hyperlink ref="AA108" r:id="rId13" xr:uid="{5A805E1E-7785-4C7E-B269-B0C9E95D1EC7}"/>
    <hyperlink ref="AA159" r:id="rId14" xr:uid="{373F81D1-61D7-48FD-94D1-2CA9E0354ADA}"/>
    <hyperlink ref="AA160" r:id="rId15" xr:uid="{D86A72CE-4497-45D0-9A1C-A7C2FB866E47}"/>
    <hyperlink ref="AB6" r:id="rId16" display="https://treasury.gov.au/coronavirus" xr:uid="{5E55CFDA-F21B-454A-B9B1-1466871D3FB5}"/>
    <hyperlink ref="AA6" r:id="rId17" xr:uid="{0DDF6678-39B2-43DC-8545-D0097F5289CF}"/>
    <hyperlink ref="AA22" r:id="rId18" xr:uid="{B675E32F-7B9E-49F7-B09A-B45AD4A3181C}"/>
    <hyperlink ref="AA144" r:id="rId19" display="https://urldefense.proofpoint.com/v2/url?u=https-3A__www.gov.pl_web_tarczaantykryzysowa&amp;d=DwMFBA&amp;c=G8CoXqdZ57E1EOn2t2CVrg&amp;r=1dNmfCwUPm-Zyfp8PIjgpWCvO5QO5p2LM0QGFAzgPvI&amp;m=nz2rsJenFWhU9KRBhOJ8maK12Et9Tar9PrzSGpsIzBw&amp;s=CAY3fc6DLo3KDD4wEX63BZhcse8VIq2LHFGPVw4INzI&amp;e=" xr:uid="{BE680998-C003-4ABD-B72F-77301487446F}"/>
    <hyperlink ref="AA77" r:id="rId20" xr:uid="{713FCFD5-AD71-4974-AD8A-E706DB808610}"/>
    <hyperlink ref="AA75" r:id="rId21" xr:uid="{5B74D859-07AC-4743-B556-F23CB1C897E5}"/>
    <hyperlink ref="AA76" r:id="rId22" xr:uid="{41424C1A-E9D8-4204-9527-6B7F765338B9}"/>
    <hyperlink ref="AA54" r:id="rId23" display="http://www5.diputados.gob.mx/index.php/esl/Comunicacion/Boletines/2020/Marzo/18/3509-Aprueban-crear-el-Fondo-para-la-Prevencion-y-Atencion-de-Emergencias_x000a__x000a_" xr:uid="{9ED69AEA-FF9E-4475-89AD-67C1069BA28A}"/>
  </hyperlinks>
  <pageMargins left="0.7" right="0.7" top="0.75" bottom="0.75" header="0.3" footer="0.3"/>
  <pageSetup scale="38" fitToHeight="0" orientation="landscape" r:id="rId24"/>
  <rowBreaks count="16" manualBreakCount="16">
    <brk id="20" min="2" max="23" man="1"/>
    <brk id="29" min="2" max="23" man="1"/>
    <brk id="35" min="2" max="23" man="1"/>
    <brk id="44" min="2" max="23" man="1"/>
    <brk id="56" min="2" max="23" man="1"/>
    <brk id="65" min="2" max="23" man="1"/>
    <brk id="74" min="2" max="23" man="1"/>
    <brk id="86" min="2" max="23" man="1"/>
    <brk id="101" min="2" max="23" man="1"/>
    <brk id="110" min="2" max="23" man="1"/>
    <brk id="119" min="2" max="23" man="1"/>
    <brk id="134" min="2" max="23" man="1"/>
    <brk id="152" min="2" max="23" man="1"/>
    <brk id="161" min="2" max="23" man="1"/>
    <brk id="179" min="2" max="23" man="1"/>
    <brk id="194" min="2" max="23" man="1"/>
  </rowBreaks>
  <colBreaks count="1" manualBreakCount="1">
    <brk id="2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3FA3-9E1B-47BE-A866-24D3D45510FC}">
  <dimension ref="B1:N71"/>
  <sheetViews>
    <sheetView workbookViewId="0">
      <pane ySplit="2" topLeftCell="A12" activePane="bottomLeft" state="frozen"/>
      <selection pane="bottomLeft" activeCell="C42" sqref="C42"/>
    </sheetView>
  </sheetViews>
  <sheetFormatPr defaultColWidth="8.81640625" defaultRowHeight="12.5" outlineLevelCol="1"/>
  <cols>
    <col min="1" max="2" width="8.81640625" style="479"/>
    <col min="3" max="3" width="15" style="479" customWidth="1"/>
    <col min="4" max="4" width="8.81640625" style="479" customWidth="1"/>
    <col min="5" max="5" width="15" style="479" customWidth="1"/>
    <col min="6" max="6" width="12.1796875" style="389" bestFit="1" customWidth="1"/>
    <col min="7" max="7" width="5.1796875" style="389" customWidth="1"/>
    <col min="8" max="8" width="32.81640625" style="389" customWidth="1"/>
    <col min="9" max="9" width="8.81640625" style="946" customWidth="1" outlineLevel="1"/>
    <col min="10" max="10" width="8.81640625" style="479" customWidth="1" outlineLevel="1"/>
    <col min="11" max="11" width="12.1796875" style="479" customWidth="1" outlineLevel="1"/>
    <col min="12" max="12" width="5.1796875" style="479" customWidth="1" outlineLevel="1"/>
    <col min="13" max="13" width="25.54296875" style="479" customWidth="1" outlineLevel="1"/>
    <col min="14" max="16384" width="8.81640625" style="479"/>
  </cols>
  <sheetData>
    <row r="1" spans="2:13" ht="13">
      <c r="D1" s="955" t="s">
        <v>1366</v>
      </c>
      <c r="I1" s="954" t="s">
        <v>1365</v>
      </c>
    </row>
    <row r="2" spans="2:13" ht="13">
      <c r="B2" s="479" t="s">
        <v>899</v>
      </c>
      <c r="C2" s="480" t="s">
        <v>54</v>
      </c>
      <c r="D2" s="480" t="s">
        <v>900</v>
      </c>
      <c r="E2" s="480" t="s">
        <v>901</v>
      </c>
      <c r="F2" s="943" t="s">
        <v>902</v>
      </c>
      <c r="G2" s="943" t="s">
        <v>903</v>
      </c>
      <c r="H2" s="943" t="s">
        <v>904</v>
      </c>
      <c r="I2" s="947" t="s">
        <v>900</v>
      </c>
      <c r="J2" s="480" t="s">
        <v>901</v>
      </c>
      <c r="K2" s="480" t="s">
        <v>902</v>
      </c>
      <c r="L2" s="480" t="s">
        <v>903</v>
      </c>
      <c r="M2" s="480" t="s">
        <v>904</v>
      </c>
    </row>
    <row r="3" spans="2:13" ht="14.5">
      <c r="C3" s="648" t="s">
        <v>1</v>
      </c>
      <c r="D3" s="648"/>
      <c r="E3" s="648"/>
      <c r="F3" s="944"/>
      <c r="H3" s="945"/>
      <c r="I3" s="948" t="s">
        <v>905</v>
      </c>
      <c r="J3" s="650" t="s">
        <v>906</v>
      </c>
      <c r="K3" s="651">
        <v>44041</v>
      </c>
      <c r="L3" s="479" t="s">
        <v>906</v>
      </c>
      <c r="M3" s="468" t="s">
        <v>934</v>
      </c>
    </row>
    <row r="4" spans="2:13" ht="14.5">
      <c r="C4" s="648" t="s">
        <v>2</v>
      </c>
      <c r="D4" s="648"/>
      <c r="E4" s="648"/>
      <c r="F4" s="944"/>
      <c r="I4" s="948" t="s">
        <v>905</v>
      </c>
      <c r="J4" s="650" t="s">
        <v>906</v>
      </c>
      <c r="K4" s="651">
        <v>44041</v>
      </c>
      <c r="L4" s="479" t="s">
        <v>906</v>
      </c>
      <c r="M4" s="479" t="s">
        <v>923</v>
      </c>
    </row>
    <row r="5" spans="2:13" ht="14.5">
      <c r="C5" s="648" t="s">
        <v>3</v>
      </c>
      <c r="D5" s="648"/>
      <c r="E5" s="648"/>
      <c r="F5" s="944"/>
      <c r="I5" s="948" t="s">
        <v>905</v>
      </c>
      <c r="J5" s="650" t="s">
        <v>906</v>
      </c>
      <c r="K5" s="651">
        <v>44041</v>
      </c>
      <c r="L5" s="479" t="s">
        <v>906</v>
      </c>
      <c r="M5" s="479" t="s">
        <v>923</v>
      </c>
    </row>
    <row r="6" spans="2:13" ht="14.5">
      <c r="C6" s="648" t="s">
        <v>4</v>
      </c>
      <c r="D6" s="648"/>
      <c r="E6" s="648"/>
      <c r="F6" s="944"/>
      <c r="H6" s="945"/>
      <c r="I6" s="948" t="s">
        <v>905</v>
      </c>
      <c r="J6" s="650" t="s">
        <v>906</v>
      </c>
      <c r="K6" s="651">
        <v>44041</v>
      </c>
      <c r="L6" s="479" t="s">
        <v>906</v>
      </c>
      <c r="M6" s="468" t="s">
        <v>932</v>
      </c>
    </row>
    <row r="7" spans="2:13" ht="14.5">
      <c r="C7" s="648" t="s">
        <v>5</v>
      </c>
      <c r="D7" s="648"/>
      <c r="E7" s="648"/>
      <c r="F7" s="944"/>
      <c r="I7" s="948" t="s">
        <v>905</v>
      </c>
      <c r="J7" s="650" t="s">
        <v>906</v>
      </c>
      <c r="K7" s="651">
        <v>44041</v>
      </c>
      <c r="L7" s="479" t="s">
        <v>906</v>
      </c>
      <c r="M7" s="479" t="s">
        <v>936</v>
      </c>
    </row>
    <row r="8" spans="2:13" ht="14.5">
      <c r="C8" s="648" t="s">
        <v>7</v>
      </c>
      <c r="D8" s="648"/>
      <c r="E8" s="648"/>
      <c r="F8" s="944"/>
      <c r="I8" s="949" t="s">
        <v>906</v>
      </c>
      <c r="J8" s="649" t="s">
        <v>905</v>
      </c>
      <c r="K8" s="651">
        <v>44041</v>
      </c>
      <c r="L8" s="479" t="s">
        <v>906</v>
      </c>
      <c r="M8" s="479" t="s">
        <v>938</v>
      </c>
    </row>
    <row r="9" spans="2:13" ht="14.5">
      <c r="C9" s="648" t="s">
        <v>8</v>
      </c>
      <c r="D9" s="648"/>
      <c r="E9" s="648"/>
      <c r="F9" s="944"/>
      <c r="I9" s="949" t="s">
        <v>906</v>
      </c>
      <c r="J9" s="649" t="s">
        <v>905</v>
      </c>
      <c r="K9" s="651">
        <v>44041</v>
      </c>
      <c r="L9" s="479" t="s">
        <v>906</v>
      </c>
      <c r="M9" s="479" t="s">
        <v>923</v>
      </c>
    </row>
    <row r="10" spans="2:13" ht="14.5">
      <c r="C10" s="648" t="s">
        <v>0</v>
      </c>
      <c r="D10" s="648"/>
      <c r="E10" s="648"/>
      <c r="F10" s="944"/>
      <c r="I10" s="948" t="s">
        <v>905</v>
      </c>
      <c r="J10" s="650" t="s">
        <v>906</v>
      </c>
      <c r="K10" s="651">
        <v>44041</v>
      </c>
      <c r="L10" s="479" t="s">
        <v>906</v>
      </c>
      <c r="M10" s="479" t="s">
        <v>931</v>
      </c>
    </row>
    <row r="11" spans="2:13" ht="14.5">
      <c r="C11" s="648" t="s">
        <v>6</v>
      </c>
      <c r="D11" s="648"/>
      <c r="E11" s="648"/>
      <c r="F11" s="944"/>
      <c r="I11" s="949" t="s">
        <v>906</v>
      </c>
      <c r="J11" s="649" t="s">
        <v>905</v>
      </c>
      <c r="K11" s="651">
        <v>44041</v>
      </c>
      <c r="L11" s="479" t="s">
        <v>906</v>
      </c>
      <c r="M11" s="479" t="s">
        <v>933</v>
      </c>
    </row>
    <row r="12" spans="2:13" ht="14.5">
      <c r="C12" s="648" t="s">
        <v>9</v>
      </c>
      <c r="D12" s="648"/>
      <c r="E12" s="648"/>
      <c r="F12" s="944"/>
      <c r="I12" s="948" t="s">
        <v>905</v>
      </c>
      <c r="J12" s="650" t="s">
        <v>906</v>
      </c>
      <c r="K12" s="651">
        <v>44042</v>
      </c>
      <c r="L12" s="479" t="s">
        <v>906</v>
      </c>
      <c r="M12" s="479" t="s">
        <v>941</v>
      </c>
    </row>
    <row r="13" spans="2:13" ht="14.5">
      <c r="C13" s="648" t="s">
        <v>10</v>
      </c>
      <c r="D13" s="648"/>
      <c r="E13" s="648"/>
      <c r="F13" s="944"/>
      <c r="I13" s="948" t="s">
        <v>905</v>
      </c>
      <c r="J13" s="650" t="s">
        <v>906</v>
      </c>
      <c r="K13" s="651">
        <v>44042</v>
      </c>
      <c r="L13" s="479" t="s">
        <v>906</v>
      </c>
      <c r="M13" s="479" t="s">
        <v>942</v>
      </c>
    </row>
    <row r="14" spans="2:13" ht="14.5">
      <c r="C14" s="648" t="s">
        <v>11</v>
      </c>
      <c r="D14" s="648"/>
      <c r="E14" s="648"/>
      <c r="F14" s="944"/>
      <c r="I14" s="949" t="s">
        <v>906</v>
      </c>
      <c r="J14" s="649" t="s">
        <v>905</v>
      </c>
      <c r="K14" s="651">
        <v>44042</v>
      </c>
      <c r="L14" s="479" t="s">
        <v>906</v>
      </c>
      <c r="M14" s="479" t="s">
        <v>946</v>
      </c>
    </row>
    <row r="15" spans="2:13" ht="14.5">
      <c r="C15" s="648" t="s">
        <v>12</v>
      </c>
      <c r="D15" s="648"/>
      <c r="E15" s="648"/>
      <c r="F15" s="944"/>
      <c r="I15" s="948" t="s">
        <v>905</v>
      </c>
      <c r="J15" s="650" t="s">
        <v>906</v>
      </c>
      <c r="K15" s="651">
        <v>44043</v>
      </c>
      <c r="L15" s="479" t="s">
        <v>906</v>
      </c>
      <c r="M15" s="479" t="s">
        <v>974</v>
      </c>
    </row>
    <row r="16" spans="2:13" ht="14.5">
      <c r="C16" s="648" t="s">
        <v>13</v>
      </c>
      <c r="D16" s="951" t="s">
        <v>909</v>
      </c>
      <c r="E16" s="648"/>
      <c r="F16" s="944">
        <v>44179</v>
      </c>
      <c r="H16" s="945" t="s">
        <v>1370</v>
      </c>
      <c r="I16" s="949" t="s">
        <v>906</v>
      </c>
      <c r="J16" s="649" t="s">
        <v>905</v>
      </c>
      <c r="K16" s="651">
        <v>44043</v>
      </c>
      <c r="L16" s="479" t="s">
        <v>906</v>
      </c>
      <c r="M16" s="468" t="s">
        <v>923</v>
      </c>
    </row>
    <row r="17" spans="3:13" ht="14.5">
      <c r="C17" s="648" t="s">
        <v>14</v>
      </c>
      <c r="D17" s="648"/>
      <c r="E17" s="648"/>
      <c r="F17" s="944"/>
      <c r="I17" s="948" t="s">
        <v>905</v>
      </c>
      <c r="J17" s="650" t="s">
        <v>906</v>
      </c>
      <c r="K17" s="651">
        <v>44042</v>
      </c>
      <c r="L17" s="479" t="s">
        <v>906</v>
      </c>
      <c r="M17" s="479" t="s">
        <v>923</v>
      </c>
    </row>
    <row r="18" spans="3:13" ht="14.5">
      <c r="C18" s="648" t="s">
        <v>15</v>
      </c>
      <c r="D18" s="951" t="s">
        <v>909</v>
      </c>
      <c r="E18" s="648"/>
      <c r="F18" s="944">
        <v>44174</v>
      </c>
      <c r="H18" s="389" t="s">
        <v>1367</v>
      </c>
      <c r="I18" s="948" t="s">
        <v>905</v>
      </c>
      <c r="J18" s="650" t="s">
        <v>906</v>
      </c>
      <c r="K18" s="651">
        <v>44043</v>
      </c>
      <c r="L18" s="479" t="s">
        <v>906</v>
      </c>
      <c r="M18" s="479" t="s">
        <v>977</v>
      </c>
    </row>
    <row r="19" spans="3:13" ht="14.5">
      <c r="C19" s="648" t="s">
        <v>16</v>
      </c>
      <c r="D19" s="951" t="s">
        <v>909</v>
      </c>
      <c r="E19" s="648"/>
      <c r="F19" s="944">
        <v>44174</v>
      </c>
      <c r="H19" s="389" t="s">
        <v>1371</v>
      </c>
      <c r="I19" s="948" t="s">
        <v>905</v>
      </c>
      <c r="J19" s="650" t="s">
        <v>906</v>
      </c>
      <c r="K19" s="651">
        <v>44042</v>
      </c>
      <c r="L19" s="479" t="s">
        <v>906</v>
      </c>
      <c r="M19" s="479" t="s">
        <v>951</v>
      </c>
    </row>
    <row r="20" spans="3:13" ht="14.5">
      <c r="C20" s="648" t="s">
        <v>17</v>
      </c>
      <c r="D20" s="648"/>
      <c r="E20" s="648"/>
      <c r="F20" s="944"/>
      <c r="I20" s="949" t="s">
        <v>906</v>
      </c>
      <c r="J20" s="649" t="s">
        <v>905</v>
      </c>
      <c r="K20" s="651">
        <v>44042</v>
      </c>
      <c r="L20" s="479" t="s">
        <v>906</v>
      </c>
      <c r="M20" s="479" t="s">
        <v>923</v>
      </c>
    </row>
    <row r="21" spans="3:13" ht="14.5">
      <c r="C21" s="648" t="s">
        <v>18</v>
      </c>
      <c r="D21" s="951" t="s">
        <v>909</v>
      </c>
      <c r="E21" s="648"/>
      <c r="F21" s="944">
        <v>44174</v>
      </c>
      <c r="H21" s="945" t="s">
        <v>1367</v>
      </c>
      <c r="I21" s="948" t="s">
        <v>905</v>
      </c>
      <c r="J21" s="650" t="s">
        <v>906</v>
      </c>
      <c r="K21" s="651">
        <v>44044</v>
      </c>
      <c r="L21" s="479" t="s">
        <v>906</v>
      </c>
      <c r="M21" s="468" t="s">
        <v>989</v>
      </c>
    </row>
    <row r="22" spans="3:13" ht="14.5">
      <c r="C22" s="648" t="s">
        <v>32</v>
      </c>
      <c r="D22" s="648"/>
      <c r="E22" s="648"/>
      <c r="F22" s="944"/>
      <c r="I22" s="948" t="s">
        <v>905</v>
      </c>
      <c r="J22" s="652" t="s">
        <v>907</v>
      </c>
      <c r="K22" s="651">
        <v>44041</v>
      </c>
      <c r="L22" s="479" t="s">
        <v>906</v>
      </c>
      <c r="M22" s="479" t="s">
        <v>935</v>
      </c>
    </row>
    <row r="23" spans="3:13" ht="14.5">
      <c r="C23" s="648" t="s">
        <v>908</v>
      </c>
      <c r="D23" s="648"/>
      <c r="E23" s="648"/>
      <c r="F23" s="944"/>
      <c r="I23" s="948" t="s">
        <v>905</v>
      </c>
      <c r="J23" s="652" t="s">
        <v>907</v>
      </c>
      <c r="K23" s="651">
        <v>44041</v>
      </c>
      <c r="L23" s="479" t="s">
        <v>906</v>
      </c>
      <c r="M23" s="479" t="s">
        <v>937</v>
      </c>
    </row>
    <row r="25" spans="3:13" ht="14.5">
      <c r="C25" s="648" t="s">
        <v>41</v>
      </c>
      <c r="D25" s="389" t="s">
        <v>1364</v>
      </c>
      <c r="E25" s="648"/>
      <c r="F25" s="944"/>
      <c r="G25" s="389" t="s">
        <v>1364</v>
      </c>
      <c r="I25" s="950" t="s">
        <v>907</v>
      </c>
      <c r="J25" s="653" t="s">
        <v>909</v>
      </c>
      <c r="K25" s="651">
        <v>44045</v>
      </c>
      <c r="L25" s="479" t="s">
        <v>907</v>
      </c>
      <c r="M25" s="479" t="s">
        <v>1226</v>
      </c>
    </row>
    <row r="26" spans="3:13" ht="14.5">
      <c r="C26" s="648" t="s">
        <v>37</v>
      </c>
      <c r="D26" s="481" t="s">
        <v>910</v>
      </c>
      <c r="E26" s="648"/>
      <c r="F26" s="944"/>
      <c r="G26" s="389" t="s">
        <v>909</v>
      </c>
      <c r="I26" s="951" t="s">
        <v>909</v>
      </c>
      <c r="J26" s="652" t="s">
        <v>907</v>
      </c>
      <c r="K26" s="651">
        <v>44042</v>
      </c>
      <c r="L26" s="479" t="s">
        <v>909</v>
      </c>
      <c r="M26" s="479" t="s">
        <v>1132</v>
      </c>
    </row>
    <row r="27" spans="3:13" ht="14.5">
      <c r="C27" s="648" t="s">
        <v>547</v>
      </c>
      <c r="D27" s="389"/>
      <c r="E27" s="648"/>
      <c r="F27" s="944"/>
      <c r="I27" s="950" t="s">
        <v>907</v>
      </c>
      <c r="J27" s="649" t="s">
        <v>905</v>
      </c>
      <c r="K27" s="651">
        <v>44067</v>
      </c>
      <c r="L27" s="479" t="s">
        <v>907</v>
      </c>
      <c r="M27" s="479" t="s">
        <v>1233</v>
      </c>
    </row>
    <row r="28" spans="3:13" ht="14.5">
      <c r="C28" s="648" t="s">
        <v>27</v>
      </c>
      <c r="D28" s="389" t="s">
        <v>1364</v>
      </c>
      <c r="E28" s="648"/>
      <c r="F28" s="944"/>
      <c r="G28" s="389" t="s">
        <v>1364</v>
      </c>
      <c r="I28" s="950" t="s">
        <v>907</v>
      </c>
      <c r="J28" s="481" t="s">
        <v>910</v>
      </c>
      <c r="K28" s="651">
        <v>44048</v>
      </c>
      <c r="L28" s="479" t="s">
        <v>907</v>
      </c>
      <c r="M28" s="479" t="s">
        <v>1227</v>
      </c>
    </row>
    <row r="29" spans="3:13" ht="14.5">
      <c r="C29" s="648" t="s">
        <v>42</v>
      </c>
      <c r="D29" s="389" t="s">
        <v>1364</v>
      </c>
      <c r="E29" s="648"/>
      <c r="F29" s="944"/>
      <c r="G29" s="389" t="s">
        <v>1364</v>
      </c>
      <c r="I29" s="952" t="s">
        <v>910</v>
      </c>
      <c r="J29" s="653" t="s">
        <v>909</v>
      </c>
      <c r="K29" s="651">
        <v>44054</v>
      </c>
      <c r="L29" s="479" t="s">
        <v>910</v>
      </c>
    </row>
    <row r="30" spans="3:13" ht="14.5">
      <c r="C30" s="648" t="s">
        <v>34</v>
      </c>
      <c r="D30" s="951" t="s">
        <v>909</v>
      </c>
      <c r="E30" s="648"/>
      <c r="F30" s="944">
        <v>44179</v>
      </c>
      <c r="G30" s="389" t="s">
        <v>1364</v>
      </c>
      <c r="I30" s="952" t="s">
        <v>910</v>
      </c>
      <c r="J30" s="652" t="s">
        <v>907</v>
      </c>
      <c r="K30" s="651">
        <v>44054</v>
      </c>
      <c r="L30" s="479" t="s">
        <v>910</v>
      </c>
    </row>
    <row r="31" spans="3:13" ht="14.5">
      <c r="C31" s="648" t="s">
        <v>542</v>
      </c>
      <c r="D31" s="389"/>
      <c r="E31" s="648"/>
      <c r="F31" s="944"/>
      <c r="I31" s="952" t="s">
        <v>910</v>
      </c>
      <c r="J31" s="652" t="s">
        <v>907</v>
      </c>
      <c r="K31" s="651">
        <v>44054</v>
      </c>
      <c r="L31" s="479" t="s">
        <v>910</v>
      </c>
    </row>
    <row r="32" spans="3:13" ht="14.5">
      <c r="C32" s="648" t="s">
        <v>19</v>
      </c>
      <c r="D32" s="389"/>
      <c r="E32" s="648"/>
      <c r="F32" s="944"/>
      <c r="I32" s="950" t="s">
        <v>907</v>
      </c>
      <c r="J32" s="649" t="s">
        <v>905</v>
      </c>
      <c r="K32" s="651">
        <v>44047</v>
      </c>
      <c r="L32" s="479" t="s">
        <v>907</v>
      </c>
      <c r="M32" s="479" t="s">
        <v>1228</v>
      </c>
    </row>
    <row r="33" spans="2:14" ht="14.5">
      <c r="C33" s="648" t="s">
        <v>23</v>
      </c>
      <c r="D33" s="389" t="s">
        <v>1364</v>
      </c>
      <c r="E33" s="648"/>
      <c r="F33" s="944"/>
      <c r="G33" s="389" t="s">
        <v>1364</v>
      </c>
      <c r="I33" s="950" t="s">
        <v>907</v>
      </c>
      <c r="J33" s="481" t="s">
        <v>910</v>
      </c>
      <c r="K33" s="651">
        <v>44048</v>
      </c>
      <c r="L33" s="479" t="s">
        <v>907</v>
      </c>
      <c r="M33" s="481" t="s">
        <v>1153</v>
      </c>
    </row>
    <row r="34" spans="2:14">
      <c r="C34" s="654" t="s">
        <v>548</v>
      </c>
      <c r="D34" s="481" t="s">
        <v>910</v>
      </c>
      <c r="E34" s="654"/>
      <c r="F34" s="944"/>
      <c r="G34" s="389" t="s">
        <v>909</v>
      </c>
      <c r="I34" s="951" t="s">
        <v>909</v>
      </c>
      <c r="J34" s="481" t="s">
        <v>910</v>
      </c>
      <c r="K34" s="651">
        <v>44042</v>
      </c>
      <c r="L34" s="479" t="s">
        <v>909</v>
      </c>
      <c r="M34" s="479" t="s">
        <v>1131</v>
      </c>
    </row>
    <row r="35" spans="2:14" ht="14.5">
      <c r="C35" s="648" t="s">
        <v>20</v>
      </c>
      <c r="D35" s="389"/>
      <c r="E35" s="648"/>
      <c r="F35" s="944"/>
      <c r="I35" s="950" t="s">
        <v>907</v>
      </c>
      <c r="J35" s="649" t="s">
        <v>905</v>
      </c>
      <c r="K35" s="651">
        <v>44045</v>
      </c>
      <c r="L35" s="479" t="s">
        <v>907</v>
      </c>
      <c r="M35" s="479" t="s">
        <v>1229</v>
      </c>
    </row>
    <row r="36" spans="2:14" ht="14.5">
      <c r="C36" s="648" t="s">
        <v>549</v>
      </c>
      <c r="D36" s="951" t="s">
        <v>909</v>
      </c>
      <c r="E36" s="648"/>
      <c r="F36" s="944">
        <v>44179</v>
      </c>
      <c r="G36" s="389" t="s">
        <v>909</v>
      </c>
      <c r="I36" s="951" t="s">
        <v>909</v>
      </c>
      <c r="J36" s="481" t="s">
        <v>910</v>
      </c>
      <c r="K36" s="651">
        <v>44041</v>
      </c>
      <c r="L36" s="479" t="s">
        <v>909</v>
      </c>
      <c r="M36" s="479" t="s">
        <v>1230</v>
      </c>
    </row>
    <row r="37" spans="2:14" ht="14.5">
      <c r="C37" s="648" t="s">
        <v>550</v>
      </c>
      <c r="D37" s="481" t="s">
        <v>910</v>
      </c>
      <c r="E37" s="648"/>
      <c r="F37" s="944"/>
      <c r="G37" s="389" t="s">
        <v>909</v>
      </c>
      <c r="I37" s="951" t="s">
        <v>909</v>
      </c>
      <c r="J37" s="481" t="s">
        <v>910</v>
      </c>
      <c r="K37" s="651">
        <v>44043</v>
      </c>
      <c r="L37" s="479" t="s">
        <v>909</v>
      </c>
      <c r="M37" s="389" t="s">
        <v>1156</v>
      </c>
      <c r="N37" s="655"/>
    </row>
    <row r="38" spans="2:14" ht="14.5">
      <c r="C38" s="648" t="s">
        <v>551</v>
      </c>
      <c r="D38" s="481" t="s">
        <v>910</v>
      </c>
      <c r="E38" s="648"/>
      <c r="F38" s="944"/>
      <c r="G38" s="389" t="s">
        <v>1364</v>
      </c>
      <c r="I38" s="950" t="s">
        <v>907</v>
      </c>
      <c r="J38" s="653" t="s">
        <v>909</v>
      </c>
      <c r="K38" s="651">
        <v>44045</v>
      </c>
      <c r="L38" s="479" t="s">
        <v>907</v>
      </c>
      <c r="M38" s="479" t="s">
        <v>1237</v>
      </c>
    </row>
    <row r="39" spans="2:14" ht="14.5">
      <c r="C39" s="648" t="s">
        <v>38</v>
      </c>
      <c r="D39" s="481" t="s">
        <v>910</v>
      </c>
      <c r="E39" s="648"/>
      <c r="F39" s="944"/>
      <c r="G39" s="389" t="s">
        <v>1364</v>
      </c>
      <c r="H39" s="945"/>
      <c r="I39" s="950" t="s">
        <v>907</v>
      </c>
      <c r="J39" s="653" t="s">
        <v>909</v>
      </c>
      <c r="K39" s="651">
        <v>44045</v>
      </c>
      <c r="L39" s="479" t="s">
        <v>907</v>
      </c>
      <c r="M39" s="468" t="s">
        <v>996</v>
      </c>
    </row>
    <row r="40" spans="2:14" ht="14.5">
      <c r="C40" s="648" t="s">
        <v>35</v>
      </c>
      <c r="D40" s="951" t="s">
        <v>909</v>
      </c>
      <c r="E40" s="648"/>
      <c r="F40" s="944">
        <v>44179</v>
      </c>
      <c r="G40" s="389" t="s">
        <v>909</v>
      </c>
      <c r="I40" s="951" t="s">
        <v>909</v>
      </c>
      <c r="J40" s="652" t="s">
        <v>907</v>
      </c>
      <c r="K40" s="651">
        <v>44041</v>
      </c>
      <c r="L40" s="479" t="s">
        <v>909</v>
      </c>
      <c r="M40" s="479" t="s">
        <v>1133</v>
      </c>
    </row>
    <row r="41" spans="2:14">
      <c r="C41" s="654" t="s">
        <v>552</v>
      </c>
      <c r="D41" s="481" t="s">
        <v>910</v>
      </c>
      <c r="E41" s="654"/>
      <c r="F41" s="944"/>
      <c r="G41" s="389" t="s">
        <v>909</v>
      </c>
      <c r="I41" s="951" t="s">
        <v>909</v>
      </c>
      <c r="J41" s="481" t="s">
        <v>910</v>
      </c>
      <c r="K41" s="651">
        <v>44042</v>
      </c>
      <c r="L41" s="479" t="s">
        <v>909</v>
      </c>
      <c r="M41" s="850" t="s">
        <v>1238</v>
      </c>
    </row>
    <row r="42" spans="2:14" ht="14.5">
      <c r="C42" s="648" t="s">
        <v>92</v>
      </c>
      <c r="D42" s="951" t="s">
        <v>909</v>
      </c>
      <c r="E42" s="648"/>
      <c r="F42" s="944">
        <v>44179</v>
      </c>
      <c r="G42" s="389" t="s">
        <v>909</v>
      </c>
      <c r="I42" s="951" t="s">
        <v>909</v>
      </c>
      <c r="J42" s="481" t="s">
        <v>910</v>
      </c>
      <c r="K42" s="651">
        <v>44041</v>
      </c>
      <c r="L42" s="479" t="s">
        <v>909</v>
      </c>
      <c r="M42" s="479" t="s">
        <v>1133</v>
      </c>
    </row>
    <row r="43" spans="2:14">
      <c r="B43" s="479" t="s">
        <v>917</v>
      </c>
      <c r="C43" s="199" t="s">
        <v>912</v>
      </c>
      <c r="D43" s="481" t="s">
        <v>910</v>
      </c>
      <c r="E43" s="199"/>
      <c r="F43" s="944"/>
      <c r="G43" s="389" t="s">
        <v>1364</v>
      </c>
      <c r="I43" s="953" t="s">
        <v>918</v>
      </c>
      <c r="J43" s="656" t="s">
        <v>918</v>
      </c>
      <c r="K43" s="651">
        <v>44054</v>
      </c>
      <c r="M43" s="479" t="s">
        <v>1165</v>
      </c>
    </row>
    <row r="44" spans="2:14">
      <c r="B44" s="479" t="s">
        <v>917</v>
      </c>
      <c r="C44" s="199" t="s">
        <v>914</v>
      </c>
      <c r="D44" s="481" t="s">
        <v>910</v>
      </c>
      <c r="E44" s="199"/>
      <c r="F44" s="944"/>
      <c r="G44" s="389" t="s">
        <v>1364</v>
      </c>
      <c r="I44" s="953" t="s">
        <v>918</v>
      </c>
      <c r="J44" s="656" t="s">
        <v>918</v>
      </c>
      <c r="K44" s="651">
        <v>44054</v>
      </c>
      <c r="M44" s="479" t="s">
        <v>1165</v>
      </c>
    </row>
    <row r="45" spans="2:14" ht="14.5">
      <c r="C45" s="648" t="s">
        <v>55</v>
      </c>
      <c r="D45" s="389"/>
      <c r="E45" s="648"/>
      <c r="F45" s="944"/>
      <c r="I45" s="950" t="s">
        <v>907</v>
      </c>
      <c r="J45" s="649" t="s">
        <v>905</v>
      </c>
      <c r="K45" s="651">
        <v>44045</v>
      </c>
      <c r="L45" s="479" t="s">
        <v>907</v>
      </c>
      <c r="M45" s="479" t="s">
        <v>1232</v>
      </c>
    </row>
    <row r="46" spans="2:14" ht="14.5">
      <c r="C46" s="648" t="s">
        <v>553</v>
      </c>
      <c r="D46" s="389"/>
      <c r="E46" s="648"/>
      <c r="F46" s="944"/>
      <c r="I46" s="950" t="s">
        <v>907</v>
      </c>
      <c r="J46" s="649" t="s">
        <v>905</v>
      </c>
      <c r="K46" s="651">
        <v>44067</v>
      </c>
      <c r="L46" s="479" t="s">
        <v>907</v>
      </c>
      <c r="M46" s="479" t="s">
        <v>1235</v>
      </c>
    </row>
    <row r="47" spans="2:14">
      <c r="B47" s="479" t="s">
        <v>917</v>
      </c>
      <c r="C47" s="199" t="s">
        <v>915</v>
      </c>
      <c r="D47" s="481" t="s">
        <v>910</v>
      </c>
      <c r="E47" s="199"/>
      <c r="F47" s="944"/>
      <c r="G47" s="389" t="s">
        <v>909</v>
      </c>
      <c r="I47" s="953" t="s">
        <v>918</v>
      </c>
      <c r="J47" s="656" t="s">
        <v>918</v>
      </c>
      <c r="K47" s="651">
        <v>44054</v>
      </c>
      <c r="M47" s="479" t="s">
        <v>1165</v>
      </c>
    </row>
    <row r="48" spans="2:14" ht="14.5">
      <c r="C48" s="648" t="s">
        <v>29</v>
      </c>
      <c r="D48" s="481" t="s">
        <v>910</v>
      </c>
      <c r="E48" s="648"/>
      <c r="F48" s="944"/>
      <c r="G48" s="389" t="s">
        <v>1364</v>
      </c>
      <c r="H48" s="556"/>
      <c r="I48" s="952" t="s">
        <v>910</v>
      </c>
      <c r="J48" s="653" t="s">
        <v>909</v>
      </c>
      <c r="K48" s="651">
        <v>44054</v>
      </c>
      <c r="L48" s="479" t="s">
        <v>910</v>
      </c>
      <c r="M48" s="563"/>
    </row>
    <row r="49" spans="2:13" ht="14.5">
      <c r="C49" s="648" t="s">
        <v>36</v>
      </c>
      <c r="D49" s="389"/>
      <c r="E49" s="648"/>
      <c r="F49" s="944"/>
      <c r="I49" s="950" t="s">
        <v>907</v>
      </c>
      <c r="J49" s="481" t="s">
        <v>910</v>
      </c>
      <c r="K49" s="651">
        <v>44047</v>
      </c>
      <c r="L49" s="479" t="s">
        <v>907</v>
      </c>
      <c r="M49" s="479" t="s">
        <v>1231</v>
      </c>
    </row>
    <row r="50" spans="2:13">
      <c r="C50" s="654" t="s">
        <v>554</v>
      </c>
      <c r="D50" s="951" t="s">
        <v>909</v>
      </c>
      <c r="E50" s="654"/>
      <c r="F50" s="944">
        <v>44179</v>
      </c>
      <c r="G50" s="389" t="s">
        <v>909</v>
      </c>
      <c r="H50" s="389" t="s">
        <v>1369</v>
      </c>
      <c r="I50" s="951" t="s">
        <v>909</v>
      </c>
      <c r="J50" s="481" t="s">
        <v>910</v>
      </c>
      <c r="K50" s="651">
        <v>44042</v>
      </c>
      <c r="L50" s="479" t="s">
        <v>909</v>
      </c>
      <c r="M50" s="479" t="s">
        <v>1131</v>
      </c>
    </row>
    <row r="51" spans="2:13" ht="14.5">
      <c r="C51" s="648" t="s">
        <v>555</v>
      </c>
      <c r="D51" s="951" t="s">
        <v>909</v>
      </c>
      <c r="E51" s="648"/>
      <c r="F51" s="944">
        <v>44179</v>
      </c>
      <c r="G51" s="389" t="s">
        <v>909</v>
      </c>
      <c r="I51" s="951" t="s">
        <v>909</v>
      </c>
      <c r="J51" s="481" t="s">
        <v>910</v>
      </c>
      <c r="K51" s="651">
        <v>44042</v>
      </c>
      <c r="L51" s="479" t="s">
        <v>909</v>
      </c>
      <c r="M51" s="850" t="s">
        <v>1239</v>
      </c>
    </row>
    <row r="52" spans="2:13" ht="14.5">
      <c r="C52" s="648" t="s">
        <v>556</v>
      </c>
      <c r="D52" s="951" t="s">
        <v>909</v>
      </c>
      <c r="E52" s="648"/>
      <c r="F52" s="944">
        <v>44179</v>
      </c>
      <c r="G52" s="389" t="s">
        <v>909</v>
      </c>
      <c r="I52" s="951" t="s">
        <v>909</v>
      </c>
      <c r="J52" s="481" t="s">
        <v>910</v>
      </c>
      <c r="K52" s="651">
        <v>44041</v>
      </c>
      <c r="L52" s="479" t="s">
        <v>909</v>
      </c>
      <c r="M52" s="479" t="s">
        <v>1131</v>
      </c>
    </row>
    <row r="53" spans="2:13" ht="14.5">
      <c r="C53" s="648" t="s">
        <v>22</v>
      </c>
      <c r="D53" s="389" t="s">
        <v>1364</v>
      </c>
      <c r="E53" s="648"/>
      <c r="F53" s="944"/>
      <c r="G53" s="389" t="s">
        <v>1364</v>
      </c>
      <c r="H53" s="556"/>
      <c r="I53" s="952" t="s">
        <v>910</v>
      </c>
      <c r="J53" s="652" t="s">
        <v>907</v>
      </c>
      <c r="K53" s="651">
        <v>44054</v>
      </c>
      <c r="L53" s="479" t="s">
        <v>910</v>
      </c>
      <c r="M53" s="563"/>
    </row>
    <row r="54" spans="2:13" ht="14.5">
      <c r="C54" s="648" t="s">
        <v>557</v>
      </c>
      <c r="D54" s="389" t="s">
        <v>1364</v>
      </c>
      <c r="E54" s="648"/>
      <c r="F54" s="944"/>
      <c r="G54" s="389" t="s">
        <v>1364</v>
      </c>
      <c r="I54" s="950" t="s">
        <v>907</v>
      </c>
      <c r="J54" s="481" t="s">
        <v>910</v>
      </c>
      <c r="K54" s="651">
        <v>44047</v>
      </c>
      <c r="L54" s="479" t="s">
        <v>907</v>
      </c>
      <c r="M54" s="479" t="s">
        <v>1236</v>
      </c>
    </row>
    <row r="55" spans="2:13" ht="14.5">
      <c r="C55" s="648" t="s">
        <v>93</v>
      </c>
      <c r="D55" s="481" t="s">
        <v>910</v>
      </c>
      <c r="E55" s="648"/>
      <c r="F55" s="944"/>
      <c r="G55" s="389" t="s">
        <v>909</v>
      </c>
      <c r="I55" s="951" t="s">
        <v>909</v>
      </c>
      <c r="J55" s="652" t="s">
        <v>907</v>
      </c>
      <c r="K55" s="651">
        <v>44042</v>
      </c>
      <c r="L55" s="479" t="s">
        <v>909</v>
      </c>
      <c r="M55" s="850" t="s">
        <v>1240</v>
      </c>
    </row>
    <row r="56" spans="2:13" ht="14.5">
      <c r="C56" s="648" t="s">
        <v>31</v>
      </c>
      <c r="D56" s="389"/>
      <c r="E56" s="648"/>
      <c r="F56" s="944"/>
      <c r="I56" s="951" t="s">
        <v>909</v>
      </c>
      <c r="J56" s="481" t="s">
        <v>910</v>
      </c>
      <c r="K56" s="651">
        <v>44042</v>
      </c>
      <c r="L56" s="479" t="s">
        <v>909</v>
      </c>
      <c r="M56" s="479" t="s">
        <v>1131</v>
      </c>
    </row>
    <row r="57" spans="2:13" ht="14.5">
      <c r="C57" s="648" t="s">
        <v>21</v>
      </c>
      <c r="D57" s="389"/>
      <c r="E57" s="648"/>
      <c r="F57" s="944"/>
      <c r="I57" s="950" t="s">
        <v>907</v>
      </c>
      <c r="J57" s="481" t="s">
        <v>910</v>
      </c>
      <c r="K57" s="651">
        <v>44067</v>
      </c>
      <c r="L57" s="479" t="s">
        <v>907</v>
      </c>
      <c r="M57" s="479" t="s">
        <v>1224</v>
      </c>
    </row>
    <row r="58" spans="2:13" ht="14.5">
      <c r="C58" s="648" t="s">
        <v>558</v>
      </c>
      <c r="D58" s="389"/>
      <c r="E58" s="648"/>
      <c r="F58" s="944"/>
      <c r="I58" s="950" t="s">
        <v>907</v>
      </c>
      <c r="J58" s="481" t="s">
        <v>910</v>
      </c>
      <c r="K58" s="651">
        <v>44067</v>
      </c>
      <c r="L58" s="479" t="s">
        <v>907</v>
      </c>
      <c r="M58" s="479" t="s">
        <v>1225</v>
      </c>
    </row>
    <row r="59" spans="2:13" ht="14.5">
      <c r="C59" s="648" t="s">
        <v>559</v>
      </c>
      <c r="D59" s="389" t="s">
        <v>1364</v>
      </c>
      <c r="E59" s="648"/>
      <c r="F59" s="944"/>
      <c r="G59" s="389" t="s">
        <v>1364</v>
      </c>
      <c r="I59" s="950" t="s">
        <v>907</v>
      </c>
      <c r="J59" s="481" t="s">
        <v>910</v>
      </c>
      <c r="K59" s="651">
        <v>44045</v>
      </c>
      <c r="L59" s="479" t="s">
        <v>907</v>
      </c>
      <c r="M59" s="479" t="s">
        <v>1234</v>
      </c>
    </row>
    <row r="60" spans="2:13" ht="14.5">
      <c r="C60" s="648" t="s">
        <v>30</v>
      </c>
      <c r="D60" s="951" t="s">
        <v>909</v>
      </c>
      <c r="E60" s="648"/>
      <c r="F60" s="944">
        <v>44179</v>
      </c>
      <c r="G60" s="389" t="s">
        <v>909</v>
      </c>
      <c r="I60" s="951" t="s">
        <v>909</v>
      </c>
      <c r="J60" s="481" t="s">
        <v>910</v>
      </c>
      <c r="K60" s="651">
        <v>44042</v>
      </c>
      <c r="L60" s="479" t="s">
        <v>909</v>
      </c>
      <c r="M60" s="850" t="s">
        <v>1241</v>
      </c>
    </row>
    <row r="61" spans="2:13" ht="14.5">
      <c r="C61" s="648" t="s">
        <v>56</v>
      </c>
      <c r="D61" s="951" t="s">
        <v>909</v>
      </c>
      <c r="E61" s="648"/>
      <c r="F61" s="944">
        <v>44179</v>
      </c>
      <c r="G61" s="389" t="s">
        <v>909</v>
      </c>
      <c r="I61" s="951" t="s">
        <v>909</v>
      </c>
      <c r="J61" s="481" t="s">
        <v>910</v>
      </c>
      <c r="K61" s="651">
        <v>44042</v>
      </c>
      <c r="L61" s="479" t="s">
        <v>909</v>
      </c>
      <c r="M61" s="479" t="s">
        <v>1134</v>
      </c>
    </row>
    <row r="62" spans="2:13">
      <c r="B62" s="479" t="s">
        <v>917</v>
      </c>
      <c r="C62" s="199" t="s">
        <v>913</v>
      </c>
      <c r="D62" s="199"/>
      <c r="E62" s="199"/>
      <c r="F62" s="944"/>
      <c r="I62" s="953" t="s">
        <v>918</v>
      </c>
      <c r="J62" s="656" t="s">
        <v>918</v>
      </c>
      <c r="K62" s="651">
        <v>44054</v>
      </c>
      <c r="M62" s="479" t="s">
        <v>1165</v>
      </c>
    </row>
    <row r="63" spans="2:13" ht="14.5">
      <c r="C63" s="648" t="s">
        <v>33</v>
      </c>
      <c r="D63" s="648"/>
      <c r="E63" s="648"/>
      <c r="F63" s="944"/>
      <c r="I63" s="952" t="s">
        <v>910</v>
      </c>
      <c r="J63" s="653" t="s">
        <v>909</v>
      </c>
      <c r="K63" s="651">
        <v>44054</v>
      </c>
      <c r="L63" s="479" t="s">
        <v>910</v>
      </c>
    </row>
    <row r="64" spans="2:13">
      <c r="B64" s="479" t="s">
        <v>917</v>
      </c>
      <c r="C64" s="199" t="s">
        <v>916</v>
      </c>
      <c r="D64" s="199"/>
      <c r="E64" s="199"/>
      <c r="F64" s="944"/>
      <c r="I64" s="953" t="s">
        <v>918</v>
      </c>
      <c r="J64" s="656" t="s">
        <v>918</v>
      </c>
      <c r="K64" s="651">
        <v>44054</v>
      </c>
      <c r="M64" s="479" t="s">
        <v>1165</v>
      </c>
    </row>
    <row r="66" spans="2:10">
      <c r="B66" s="479" t="s">
        <v>973</v>
      </c>
      <c r="C66" s="479" t="s">
        <v>953</v>
      </c>
      <c r="I66" s="953" t="s">
        <v>918</v>
      </c>
      <c r="J66" s="656" t="s">
        <v>918</v>
      </c>
    </row>
    <row r="67" spans="2:10">
      <c r="B67" s="479" t="s">
        <v>973</v>
      </c>
      <c r="C67" s="479" t="s">
        <v>962</v>
      </c>
      <c r="I67" s="953" t="s">
        <v>918</v>
      </c>
      <c r="J67" s="656" t="s">
        <v>918</v>
      </c>
    </row>
    <row r="68" spans="2:10">
      <c r="B68" s="479" t="s">
        <v>973</v>
      </c>
      <c r="C68" s="479" t="s">
        <v>963</v>
      </c>
      <c r="I68" s="953" t="s">
        <v>918</v>
      </c>
      <c r="J68" s="656" t="s">
        <v>918</v>
      </c>
    </row>
    <row r="69" spans="2:10">
      <c r="B69" s="479" t="s">
        <v>973</v>
      </c>
      <c r="C69" s="479" t="s">
        <v>972</v>
      </c>
      <c r="I69" s="953" t="s">
        <v>918</v>
      </c>
      <c r="J69" s="656" t="s">
        <v>918</v>
      </c>
    </row>
    <row r="70" spans="2:10">
      <c r="B70" s="479" t="s">
        <v>973</v>
      </c>
      <c r="C70" s="479" t="s">
        <v>41</v>
      </c>
      <c r="I70" s="953" t="s">
        <v>918</v>
      </c>
      <c r="J70" s="656" t="s">
        <v>918</v>
      </c>
    </row>
    <row r="71" spans="2:10">
      <c r="B71" s="479" t="s">
        <v>973</v>
      </c>
      <c r="C71" s="479" t="s">
        <v>970</v>
      </c>
      <c r="I71" s="953" t="s">
        <v>918</v>
      </c>
      <c r="J71" s="656" t="s">
        <v>918</v>
      </c>
    </row>
  </sheetData>
  <sortState xmlns:xlrd2="http://schemas.microsoft.com/office/spreadsheetml/2017/richdata2" ref="C25:J64">
    <sortCondition ref="C25:C64"/>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172F-B8FD-451C-B06D-83F0BA3A6C57}">
  <sheetPr>
    <tabColor rgb="FFFF0000"/>
    <pageSetUpPr fitToPage="1"/>
  </sheetPr>
  <dimension ref="A1:BB219"/>
  <sheetViews>
    <sheetView showGridLines="0" view="pageBreakPreview" zoomScaleNormal="100" zoomScaleSheetLayoutView="100" workbookViewId="0">
      <pane xSplit="2" ySplit="7" topLeftCell="C205" activePane="bottomRight" state="frozen"/>
      <selection activeCell="I6" sqref="I6:I8"/>
      <selection pane="topRight" activeCell="I6" sqref="I6:I8"/>
      <selection pane="bottomLeft" activeCell="I6" sqref="I6:I8"/>
      <selection pane="bottomRight" activeCell="L12" sqref="L12"/>
    </sheetView>
  </sheetViews>
  <sheetFormatPr defaultColWidth="9.1796875" defaultRowHeight="12.5"/>
  <cols>
    <col min="1" max="1" width="10.1796875" style="479" customWidth="1"/>
    <col min="2" max="2" width="26.54296875" style="352" customWidth="1"/>
    <col min="3" max="3" width="8" style="352" customWidth="1"/>
    <col min="4" max="4" width="6.453125" style="352" customWidth="1"/>
    <col min="5" max="5" width="8.1796875" style="352" bestFit="1" customWidth="1"/>
    <col min="6" max="6" width="9.81640625" style="352" customWidth="1"/>
    <col min="7" max="7" width="2.1796875" style="352" customWidth="1"/>
    <col min="8" max="8" width="8.1796875" style="352" customWidth="1"/>
    <col min="9" max="9" width="18.36328125" style="352" customWidth="1"/>
    <col min="10" max="10" width="1.81640625" style="352" customWidth="1"/>
    <col min="11" max="11" width="9.1796875" style="352" customWidth="1"/>
    <col min="12" max="12" width="8.54296875" style="352" customWidth="1"/>
    <col min="13" max="13" width="2.1796875" style="352" customWidth="1"/>
    <col min="14" max="14" width="1.1796875" style="352" customWidth="1"/>
    <col min="15" max="15" width="6.81640625" style="352" customWidth="1"/>
    <col min="16" max="16" width="5.81640625" style="352" customWidth="1"/>
    <col min="17" max="17" width="7.81640625" style="352" bestFit="1" customWidth="1"/>
    <col min="18" max="18" width="9.81640625" style="352" customWidth="1"/>
    <col min="19" max="19" width="1.81640625" style="352" customWidth="1"/>
    <col min="20" max="20" width="6.81640625" style="352" customWidth="1"/>
    <col min="21" max="21" width="18.81640625" style="352" customWidth="1"/>
    <col min="22" max="22" width="1.54296875" style="352" customWidth="1"/>
    <col min="23" max="23" width="8.81640625" style="352" customWidth="1"/>
    <col min="24" max="24" width="18.81640625" style="352" customWidth="1"/>
    <col min="25" max="25" width="1.54296875" style="479" customWidth="1"/>
    <col min="26" max="26" width="9.1796875" style="1134"/>
    <col min="27" max="27" width="11.453125" style="1134" bestFit="1" customWidth="1"/>
    <col min="28" max="28" width="9.1796875" style="1134"/>
    <col min="29" max="29" width="26.54296875" style="1134" customWidth="1"/>
    <col min="30" max="54" width="9.1796875" style="1134"/>
    <col min="55" max="16384" width="9.1796875" style="479"/>
  </cols>
  <sheetData>
    <row r="1" spans="1:53" ht="15.75" customHeight="1">
      <c r="B1" s="816" t="s">
        <v>1483</v>
      </c>
      <c r="AC1" s="1135"/>
    </row>
    <row r="2" spans="1:53" ht="15.75" customHeight="1">
      <c r="B2" s="818" t="s">
        <v>1474</v>
      </c>
      <c r="AC2" s="1136"/>
      <c r="AE2" s="1137"/>
    </row>
    <row r="3" spans="1:53" ht="15.75" customHeight="1">
      <c r="B3" s="1326" t="s">
        <v>437</v>
      </c>
      <c r="C3" s="1327"/>
      <c r="D3" s="1327"/>
      <c r="E3" s="1327"/>
      <c r="F3" s="1327"/>
      <c r="G3" s="1327"/>
      <c r="H3" s="1327"/>
      <c r="I3" s="1327"/>
      <c r="J3" s="1327"/>
      <c r="K3" s="1327"/>
      <c r="L3" s="1327"/>
      <c r="M3" s="1130"/>
      <c r="N3" s="1326" t="s">
        <v>456</v>
      </c>
      <c r="O3" s="1327"/>
      <c r="P3" s="1327"/>
      <c r="Q3" s="1327"/>
      <c r="R3" s="1327"/>
      <c r="S3" s="1327"/>
      <c r="T3" s="1327"/>
      <c r="U3" s="1327"/>
      <c r="V3" s="1327"/>
      <c r="W3" s="1327"/>
      <c r="X3" s="1327"/>
      <c r="AE3" s="1328"/>
      <c r="AF3" s="1329"/>
      <c r="AG3" s="1329"/>
      <c r="AH3" s="1329"/>
      <c r="AI3" s="1329"/>
      <c r="AJ3" s="1329"/>
      <c r="AK3" s="1329"/>
      <c r="AL3" s="1329"/>
      <c r="AM3" s="1329"/>
      <c r="AN3" s="1329"/>
      <c r="AO3" s="1329"/>
      <c r="AP3" s="1138"/>
      <c r="AQ3" s="1328"/>
      <c r="AR3" s="1329"/>
      <c r="AS3" s="1329"/>
      <c r="AT3" s="1329"/>
      <c r="AU3" s="1329"/>
      <c r="AV3" s="1329"/>
      <c r="AW3" s="1329"/>
      <c r="AX3" s="1329"/>
      <c r="AY3" s="1329"/>
      <c r="AZ3" s="1329"/>
      <c r="BA3" s="1329"/>
    </row>
    <row r="4" spans="1:53" ht="11.15" customHeight="1">
      <c r="A4" s="559"/>
      <c r="B4" s="1131"/>
      <c r="C4" s="1330" t="s">
        <v>586</v>
      </c>
      <c r="D4" s="1330"/>
      <c r="E4" s="1330"/>
      <c r="F4" s="1330"/>
      <c r="G4" s="822"/>
      <c r="H4" s="1331" t="s">
        <v>773</v>
      </c>
      <c r="I4" s="1331"/>
      <c r="J4" s="1331"/>
      <c r="K4" s="1331"/>
      <c r="L4" s="1331"/>
      <c r="M4" s="822"/>
      <c r="N4" s="823"/>
      <c r="O4" s="1330" t="s">
        <v>586</v>
      </c>
      <c r="P4" s="1330"/>
      <c r="Q4" s="1330"/>
      <c r="R4" s="1330"/>
      <c r="S4" s="822"/>
      <c r="T4" s="1331" t="s">
        <v>773</v>
      </c>
      <c r="U4" s="1331"/>
      <c r="V4" s="1331"/>
      <c r="W4" s="1331"/>
      <c r="X4" s="1331"/>
      <c r="AC4" s="571"/>
      <c r="AE4" s="820"/>
      <c r="AF4" s="1332"/>
      <c r="AG4" s="1332"/>
      <c r="AH4" s="1332"/>
      <c r="AI4" s="1332"/>
      <c r="AJ4" s="821"/>
      <c r="AK4" s="1333"/>
      <c r="AL4" s="1333"/>
      <c r="AM4" s="1333"/>
      <c r="AN4" s="1333"/>
      <c r="AO4" s="1333"/>
      <c r="AP4" s="821"/>
      <c r="AQ4" s="821"/>
      <c r="AR4" s="1332"/>
      <c r="AS4" s="1332"/>
      <c r="AT4" s="1332"/>
      <c r="AU4" s="1332"/>
      <c r="AV4" s="821"/>
      <c r="AW4" s="1333"/>
      <c r="AX4" s="1333"/>
      <c r="AY4" s="1333"/>
      <c r="AZ4" s="1333"/>
      <c r="BA4" s="1333"/>
    </row>
    <row r="5" spans="1:53" ht="27" customHeight="1">
      <c r="A5" s="559"/>
      <c r="B5" s="1131"/>
      <c r="C5" s="1331" t="s">
        <v>770</v>
      </c>
      <c r="D5" s="1331"/>
      <c r="E5" s="1331"/>
      <c r="F5" s="1334" t="s">
        <v>771</v>
      </c>
      <c r="G5" s="822"/>
      <c r="H5" s="1132"/>
      <c r="I5" s="1336" t="s">
        <v>778</v>
      </c>
      <c r="J5" s="1132"/>
      <c r="K5" s="1330" t="s">
        <v>211</v>
      </c>
      <c r="L5" s="1330"/>
      <c r="M5" s="822"/>
      <c r="N5" s="823"/>
      <c r="O5" s="1331" t="s">
        <v>770</v>
      </c>
      <c r="P5" s="1331"/>
      <c r="Q5" s="1331"/>
      <c r="R5" s="1334" t="s">
        <v>771</v>
      </c>
      <c r="S5" s="822"/>
      <c r="T5" s="1132"/>
      <c r="U5" s="1336" t="s">
        <v>778</v>
      </c>
      <c r="V5" s="1132"/>
      <c r="W5" s="1330" t="s">
        <v>211</v>
      </c>
      <c r="X5" s="1330"/>
      <c r="AC5" s="571"/>
      <c r="AE5" s="820"/>
      <c r="AF5" s="1333"/>
      <c r="AG5" s="1333"/>
      <c r="AH5" s="1333"/>
      <c r="AI5" s="1339"/>
      <c r="AJ5" s="821"/>
      <c r="AK5" s="824"/>
      <c r="AL5" s="1338"/>
      <c r="AM5" s="824"/>
      <c r="AN5" s="1332"/>
      <c r="AO5" s="1332"/>
      <c r="AP5" s="821"/>
      <c r="AQ5" s="821"/>
      <c r="AR5" s="1333"/>
      <c r="AS5" s="1333"/>
      <c r="AT5" s="1333"/>
      <c r="AU5" s="1339"/>
      <c r="AV5" s="821"/>
      <c r="AW5" s="824"/>
      <c r="AX5" s="1338"/>
      <c r="AY5" s="824"/>
      <c r="AZ5" s="1332"/>
      <c r="BA5" s="1332"/>
    </row>
    <row r="6" spans="1:53" ht="32.25" customHeight="1">
      <c r="A6" s="559"/>
      <c r="B6" s="825"/>
      <c r="C6" s="577" t="s">
        <v>429</v>
      </c>
      <c r="D6" s="1182" t="s">
        <v>769</v>
      </c>
      <c r="E6" s="1182" t="s">
        <v>772</v>
      </c>
      <c r="F6" s="1335"/>
      <c r="G6" s="826"/>
      <c r="H6" s="580" t="s">
        <v>429</v>
      </c>
      <c r="I6" s="1337"/>
      <c r="J6" s="581"/>
      <c r="K6" s="581" t="s">
        <v>587</v>
      </c>
      <c r="L6" s="581" t="s">
        <v>588</v>
      </c>
      <c r="M6" s="827"/>
      <c r="N6" s="1133"/>
      <c r="O6" s="577" t="s">
        <v>429</v>
      </c>
      <c r="P6" s="1182" t="s">
        <v>769</v>
      </c>
      <c r="Q6" s="1182" t="s">
        <v>772</v>
      </c>
      <c r="R6" s="1335"/>
      <c r="S6" s="826"/>
      <c r="T6" s="580" t="s">
        <v>429</v>
      </c>
      <c r="U6" s="1337"/>
      <c r="V6" s="581"/>
      <c r="W6" s="581" t="s">
        <v>587</v>
      </c>
      <c r="X6" s="1182" t="s">
        <v>588</v>
      </c>
      <c r="AC6" s="1139"/>
      <c r="AE6" s="1138"/>
      <c r="AF6" s="1140"/>
      <c r="AG6" s="1181"/>
      <c r="AH6" s="1181"/>
      <c r="AI6" s="1339"/>
      <c r="AJ6" s="1141"/>
      <c r="AK6" s="1142"/>
      <c r="AL6" s="1338"/>
      <c r="AM6" s="1143"/>
      <c r="AN6" s="1143"/>
      <c r="AO6" s="1143"/>
      <c r="AP6" s="1141"/>
      <c r="AQ6" s="1141"/>
      <c r="AR6" s="1140"/>
      <c r="AS6" s="1181"/>
      <c r="AT6" s="1181"/>
      <c r="AU6" s="1339"/>
      <c r="AV6" s="1141"/>
      <c r="AW6" s="1142"/>
      <c r="AX6" s="1338"/>
      <c r="AY6" s="1143"/>
      <c r="AZ6" s="1143"/>
      <c r="BA6" s="1181"/>
    </row>
    <row r="7" spans="1:53">
      <c r="A7" s="829"/>
      <c r="B7" s="829" t="s">
        <v>775</v>
      </c>
      <c r="C7" s="830"/>
      <c r="D7" s="830"/>
      <c r="E7" s="830"/>
      <c r="F7" s="830"/>
      <c r="G7" s="830"/>
      <c r="H7" s="830"/>
      <c r="I7" s="830"/>
      <c r="J7" s="830"/>
      <c r="K7" s="830"/>
      <c r="L7" s="830"/>
      <c r="AC7" s="1144"/>
      <c r="AE7" s="1145"/>
      <c r="AF7" s="1146"/>
      <c r="AG7" s="1146"/>
      <c r="AH7" s="1146"/>
      <c r="AI7" s="1146"/>
      <c r="AJ7" s="1146"/>
      <c r="AK7" s="1146"/>
      <c r="AL7" s="1146"/>
      <c r="AM7" s="1146"/>
      <c r="AN7" s="1146"/>
      <c r="AO7" s="1146"/>
      <c r="AP7" s="33"/>
      <c r="AQ7" s="33"/>
      <c r="AR7" s="33"/>
      <c r="AS7" s="33"/>
      <c r="AT7" s="33"/>
      <c r="AU7" s="33"/>
      <c r="AV7" s="33"/>
      <c r="AW7" s="33"/>
      <c r="AX7" s="33"/>
      <c r="AY7" s="33"/>
      <c r="AZ7" s="33"/>
      <c r="BA7" s="33"/>
    </row>
    <row r="8" spans="1:53">
      <c r="A8" s="764"/>
      <c r="B8" s="764" t="s">
        <v>0</v>
      </c>
      <c r="C8" s="917">
        <v>249.72579708899613</v>
      </c>
      <c r="D8" s="918">
        <v>13.808448829914081</v>
      </c>
      <c r="E8" s="918">
        <v>235.91734825908208</v>
      </c>
      <c r="F8" s="918" t="s">
        <v>452</v>
      </c>
      <c r="G8" s="918"/>
      <c r="H8" s="919">
        <v>24.164785452349641</v>
      </c>
      <c r="I8" s="918">
        <v>10.356336622435562</v>
      </c>
      <c r="J8" s="918"/>
      <c r="K8" s="918">
        <v>13.808448829914079</v>
      </c>
      <c r="L8" s="918" t="s">
        <v>452</v>
      </c>
      <c r="M8" s="479"/>
      <c r="N8" s="479"/>
      <c r="O8" s="882">
        <v>18.370673152863606</v>
      </c>
      <c r="P8" s="881">
        <v>1.0157961378415044</v>
      </c>
      <c r="Q8" s="881">
        <v>17.354877015022101</v>
      </c>
      <c r="R8" s="881" t="s">
        <v>452</v>
      </c>
      <c r="S8" s="883"/>
      <c r="T8" s="882">
        <v>1.7776432412226328</v>
      </c>
      <c r="U8" s="881">
        <v>0.76184710338112827</v>
      </c>
      <c r="V8" s="884"/>
      <c r="W8" s="881">
        <v>1.0157961378415044</v>
      </c>
      <c r="X8" s="881" t="s">
        <v>452</v>
      </c>
      <c r="Z8" s="1147"/>
      <c r="AC8" s="1148"/>
      <c r="AD8" s="1149"/>
      <c r="AE8" s="1150"/>
      <c r="AF8" s="1151"/>
      <c r="AG8" s="1152"/>
      <c r="AH8" s="1152"/>
      <c r="AI8" s="1152"/>
      <c r="AJ8" s="1153"/>
      <c r="AK8" s="1151"/>
      <c r="AL8" s="1152"/>
      <c r="AM8" s="1154"/>
      <c r="AN8" s="1152"/>
      <c r="AO8" s="1152"/>
      <c r="AP8" s="1155"/>
      <c r="AQ8" s="1155"/>
      <c r="AR8" s="1151"/>
      <c r="AS8" s="1152"/>
      <c r="AT8" s="1152"/>
      <c r="AU8" s="1152"/>
      <c r="AV8" s="1153"/>
      <c r="AW8" s="1151"/>
      <c r="AX8" s="1152"/>
      <c r="AY8" s="1154"/>
      <c r="AZ8" s="1152"/>
      <c r="BA8" s="1152"/>
    </row>
    <row r="9" spans="1:53">
      <c r="A9" s="764"/>
      <c r="B9" s="764" t="s">
        <v>1</v>
      </c>
      <c r="C9" s="917">
        <v>261.78973301959445</v>
      </c>
      <c r="D9" s="918">
        <v>45.632388666474455</v>
      </c>
      <c r="E9" s="918">
        <v>216.15734435311998</v>
      </c>
      <c r="F9" s="918">
        <v>68.027303732528338</v>
      </c>
      <c r="G9" s="918"/>
      <c r="H9" s="919">
        <v>64.944134850488979</v>
      </c>
      <c r="I9" s="918">
        <v>3.8772617821187447</v>
      </c>
      <c r="J9" s="918"/>
      <c r="K9" s="918">
        <v>61.066873068370228</v>
      </c>
      <c r="L9" s="918" t="s">
        <v>452</v>
      </c>
      <c r="M9" s="479"/>
      <c r="N9" s="479"/>
      <c r="O9" s="882">
        <v>15.923588544631171</v>
      </c>
      <c r="P9" s="881">
        <v>2.77562978903853</v>
      </c>
      <c r="Q9" s="881">
        <v>13.147958755592642</v>
      </c>
      <c r="R9" s="881">
        <v>3.8595767164571715</v>
      </c>
      <c r="S9" s="883"/>
      <c r="T9" s="882">
        <v>3.9502835723081042</v>
      </c>
      <c r="U9" s="881">
        <v>0.23583782521242411</v>
      </c>
      <c r="V9" s="884"/>
      <c r="W9" s="881">
        <v>3.71444574709568</v>
      </c>
      <c r="X9" s="881" t="s">
        <v>452</v>
      </c>
      <c r="Z9" s="1147"/>
      <c r="AC9" s="1148"/>
      <c r="AD9" s="1149"/>
      <c r="AE9" s="1150"/>
      <c r="AF9" s="1151"/>
      <c r="AG9" s="1152"/>
      <c r="AH9" s="1152"/>
      <c r="AI9" s="1152"/>
      <c r="AJ9" s="1153"/>
      <c r="AK9" s="1151"/>
      <c r="AL9" s="1152"/>
      <c r="AM9" s="1154"/>
      <c r="AN9" s="1152"/>
      <c r="AO9" s="1152"/>
      <c r="AP9" s="1155"/>
      <c r="AQ9" s="1155"/>
      <c r="AR9" s="1151"/>
      <c r="AS9" s="1152"/>
      <c r="AT9" s="1152"/>
      <c r="AU9" s="1152"/>
      <c r="AV9" s="1153"/>
      <c r="AW9" s="1151"/>
      <c r="AX9" s="1152"/>
      <c r="AY9" s="1154"/>
      <c r="AZ9" s="1152"/>
      <c r="BA9" s="1152"/>
    </row>
    <row r="10" spans="1:53">
      <c r="A10" s="764"/>
      <c r="B10" s="764" t="s">
        <v>430</v>
      </c>
      <c r="C10" s="917">
        <v>488.29744352478542</v>
      </c>
      <c r="D10" s="918">
        <v>5.706409296772063E-2</v>
      </c>
      <c r="E10" s="918">
        <v>488.2403794318177</v>
      </c>
      <c r="F10" s="918" t="s">
        <v>452</v>
      </c>
      <c r="G10" s="918"/>
      <c r="H10" s="919">
        <v>873.0806224061256</v>
      </c>
      <c r="I10" s="918">
        <v>798.89730154808876</v>
      </c>
      <c r="J10" s="918"/>
      <c r="K10" s="918">
        <v>74.183320858036808</v>
      </c>
      <c r="L10" s="918" t="s">
        <v>452</v>
      </c>
      <c r="M10" s="479"/>
      <c r="N10" s="479"/>
      <c r="O10" s="882">
        <v>3.7559632555567588</v>
      </c>
      <c r="P10" s="881">
        <v>4.3893458636867576E-4</v>
      </c>
      <c r="Q10" s="881">
        <v>3.7555243209703901</v>
      </c>
      <c r="R10" s="881" t="s">
        <v>452</v>
      </c>
      <c r="S10" s="883"/>
      <c r="T10" s="882">
        <v>6.7156991714407397</v>
      </c>
      <c r="U10" s="881">
        <v>6.1450842091614613</v>
      </c>
      <c r="V10" s="884"/>
      <c r="W10" s="881">
        <v>0.57061496227927855</v>
      </c>
      <c r="X10" s="881" t="s">
        <v>452</v>
      </c>
      <c r="Z10" s="1147"/>
      <c r="AC10" s="1148"/>
      <c r="AD10" s="1149"/>
      <c r="AE10" s="1150"/>
      <c r="AF10" s="1151"/>
      <c r="AG10" s="1152"/>
      <c r="AH10" s="1152"/>
      <c r="AI10" s="1152"/>
      <c r="AJ10" s="1153"/>
      <c r="AK10" s="1151"/>
      <c r="AL10" s="1152"/>
      <c r="AM10" s="1154"/>
      <c r="AN10" s="1152"/>
      <c r="AO10" s="1152"/>
      <c r="AP10" s="1155"/>
      <c r="AQ10" s="1155"/>
      <c r="AR10" s="1151"/>
      <c r="AS10" s="1152"/>
      <c r="AT10" s="1152"/>
      <c r="AU10" s="1152"/>
      <c r="AV10" s="1153"/>
      <c r="AW10" s="1151"/>
      <c r="AX10" s="1152"/>
      <c r="AY10" s="1154"/>
      <c r="AZ10" s="1152"/>
      <c r="BA10" s="1152"/>
    </row>
    <row r="11" spans="1:53">
      <c r="A11" s="764"/>
      <c r="B11" s="764" t="s">
        <v>2</v>
      </c>
      <c r="C11" s="917">
        <v>252.88463784604201</v>
      </c>
      <c r="D11" s="918">
        <v>38.633570180174964</v>
      </c>
      <c r="E11" s="918">
        <v>214.25106766586705</v>
      </c>
      <c r="F11" s="918">
        <v>79.204517036051911</v>
      </c>
      <c r="G11" s="918"/>
      <c r="H11" s="919">
        <v>399.21355852847461</v>
      </c>
      <c r="I11" s="918">
        <v>18.006206750642018</v>
      </c>
      <c r="J11" s="918"/>
      <c r="K11" s="918">
        <v>381.20735177783257</v>
      </c>
      <c r="L11" s="918" t="s">
        <v>452</v>
      </c>
      <c r="M11" s="479"/>
      <c r="N11" s="479"/>
      <c r="O11" s="882">
        <v>9.6358441242628725</v>
      </c>
      <c r="P11" s="881">
        <v>1.4720825408405198</v>
      </c>
      <c r="Q11" s="881">
        <v>8.1637615834223514</v>
      </c>
      <c r="R11" s="881">
        <v>3.017986330041774</v>
      </c>
      <c r="S11" s="883"/>
      <c r="T11" s="882">
        <v>15.211519588685375</v>
      </c>
      <c r="U11" s="881">
        <v>0.68610336711741049</v>
      </c>
      <c r="V11" s="884"/>
      <c r="W11" s="881">
        <v>14.525416221567964</v>
      </c>
      <c r="X11" s="881" t="s">
        <v>452</v>
      </c>
      <c r="Z11" s="1147"/>
      <c r="AC11" s="1148"/>
      <c r="AD11" s="1149"/>
      <c r="AE11" s="1150"/>
      <c r="AF11" s="1151"/>
      <c r="AG11" s="1152"/>
      <c r="AH11" s="1152"/>
      <c r="AI11" s="1152"/>
      <c r="AJ11" s="1153"/>
      <c r="AK11" s="1151"/>
      <c r="AL11" s="1152"/>
      <c r="AM11" s="1154"/>
      <c r="AN11" s="1152"/>
      <c r="AO11" s="1152"/>
      <c r="AP11" s="1155"/>
      <c r="AQ11" s="1155"/>
      <c r="AR11" s="1151"/>
      <c r="AS11" s="1152"/>
      <c r="AT11" s="1152"/>
      <c r="AU11" s="1152"/>
      <c r="AV11" s="1153"/>
      <c r="AW11" s="1151"/>
      <c r="AX11" s="1152"/>
      <c r="AY11" s="1154"/>
      <c r="AZ11" s="1152"/>
      <c r="BA11" s="1152"/>
    </row>
    <row r="12" spans="1:53">
      <c r="A12" s="764"/>
      <c r="B12" s="764" t="s">
        <v>3</v>
      </c>
      <c r="C12" s="917">
        <v>588.90143942687689</v>
      </c>
      <c r="D12" s="918">
        <v>69.618193420619164</v>
      </c>
      <c r="E12" s="918">
        <v>519.28324600625774</v>
      </c>
      <c r="F12" s="918" t="s">
        <v>452</v>
      </c>
      <c r="G12" s="918"/>
      <c r="H12" s="919">
        <v>1057.9682836215404</v>
      </c>
      <c r="I12" s="918">
        <v>114.12818593544125</v>
      </c>
      <c r="J12" s="918"/>
      <c r="K12" s="918">
        <v>943.84009768609917</v>
      </c>
      <c r="L12" s="918" t="s">
        <v>452</v>
      </c>
      <c r="M12" s="479"/>
      <c r="N12" s="479"/>
      <c r="O12" s="882">
        <v>15.322666856715248</v>
      </c>
      <c r="P12" s="881">
        <v>1.8114005392628492</v>
      </c>
      <c r="Q12" s="881">
        <v>13.638352846668944</v>
      </c>
      <c r="R12" s="881" t="s">
        <v>452</v>
      </c>
      <c r="S12" s="883"/>
      <c r="T12" s="882">
        <v>27.786270524971673</v>
      </c>
      <c r="U12" s="881">
        <v>2.9974401860810866</v>
      </c>
      <c r="V12" s="884"/>
      <c r="W12" s="881">
        <v>24.788830338890588</v>
      </c>
      <c r="X12" s="881" t="s">
        <v>452</v>
      </c>
      <c r="Z12" s="1147"/>
      <c r="AC12" s="1148"/>
      <c r="AD12" s="1149"/>
      <c r="AE12" s="1150"/>
      <c r="AF12" s="1151"/>
      <c r="AG12" s="1152"/>
      <c r="AH12" s="1152"/>
      <c r="AI12" s="1152"/>
      <c r="AJ12" s="1153"/>
      <c r="AK12" s="1151"/>
      <c r="AL12" s="1152"/>
      <c r="AM12" s="1154"/>
      <c r="AN12" s="1152"/>
      <c r="AO12" s="1152"/>
      <c r="AP12" s="1155"/>
      <c r="AQ12" s="1155"/>
      <c r="AR12" s="1151"/>
      <c r="AS12" s="1152"/>
      <c r="AT12" s="1152"/>
      <c r="AU12" s="1152"/>
      <c r="AV12" s="1153"/>
      <c r="AW12" s="1151"/>
      <c r="AX12" s="1152"/>
      <c r="AY12" s="1154"/>
      <c r="AZ12" s="1152"/>
      <c r="BA12" s="1152"/>
    </row>
    <row r="13" spans="1:53">
      <c r="A13" s="764"/>
      <c r="B13" s="764" t="s">
        <v>4</v>
      </c>
      <c r="C13" s="917">
        <v>205.43073468379424</v>
      </c>
      <c r="D13" s="918">
        <v>22.825637187088251</v>
      </c>
      <c r="E13" s="918">
        <v>182.60509749670601</v>
      </c>
      <c r="F13" s="918">
        <v>7.9889730154808873</v>
      </c>
      <c r="G13" s="918"/>
      <c r="H13" s="919">
        <v>664.51136260910664</v>
      </c>
      <c r="I13" s="918">
        <v>3.7091660429018405</v>
      </c>
      <c r="J13" s="918"/>
      <c r="K13" s="918">
        <v>660.80219656620488</v>
      </c>
      <c r="L13" s="918" t="s">
        <v>452</v>
      </c>
      <c r="M13" s="479"/>
      <c r="N13" s="479"/>
      <c r="O13" s="882">
        <v>10.898555638640223</v>
      </c>
      <c r="P13" s="881">
        <v>1.2109506265155805</v>
      </c>
      <c r="Q13" s="881">
        <v>9.687605012124644</v>
      </c>
      <c r="R13" s="881">
        <v>0.42383271928045313</v>
      </c>
      <c r="S13" s="883"/>
      <c r="T13" s="882">
        <v>35.253800114434839</v>
      </c>
      <c r="U13" s="881">
        <v>0.19677947680878183</v>
      </c>
      <c r="V13" s="884"/>
      <c r="W13" s="881">
        <v>35.057020637626053</v>
      </c>
      <c r="X13" s="881" t="s">
        <v>452</v>
      </c>
      <c r="Z13" s="1147"/>
      <c r="AC13" s="1148"/>
      <c r="AD13" s="1149"/>
      <c r="AE13" s="1150"/>
      <c r="AF13" s="1151"/>
      <c r="AG13" s="1152"/>
      <c r="AH13" s="1152"/>
      <c r="AI13" s="1152"/>
      <c r="AJ13" s="1153"/>
      <c r="AK13" s="1151"/>
      <c r="AL13" s="1152"/>
      <c r="AM13" s="1154"/>
      <c r="AN13" s="1152"/>
      <c r="AO13" s="1152"/>
      <c r="AP13" s="1155"/>
      <c r="AQ13" s="1155"/>
      <c r="AR13" s="1151"/>
      <c r="AS13" s="1152"/>
      <c r="AT13" s="1152"/>
      <c r="AU13" s="1152"/>
      <c r="AV13" s="1153"/>
      <c r="AW13" s="1151"/>
      <c r="AX13" s="1152"/>
      <c r="AY13" s="1154"/>
      <c r="AZ13" s="1152"/>
      <c r="BA13" s="1152"/>
    </row>
    <row r="14" spans="1:53">
      <c r="A14" s="764"/>
      <c r="B14" s="764" t="s">
        <v>5</v>
      </c>
      <c r="C14" s="917">
        <v>843.8337860086101</v>
      </c>
      <c r="D14" s="918">
        <v>104.89387795001592</v>
      </c>
      <c r="E14" s="918">
        <v>738.93990805859426</v>
      </c>
      <c r="F14" s="918">
        <v>27.16002196920055</v>
      </c>
      <c r="G14" s="918"/>
      <c r="H14" s="919">
        <v>1429.1790870689667</v>
      </c>
      <c r="I14" s="918" t="s">
        <v>452</v>
      </c>
      <c r="J14" s="918"/>
      <c r="K14" s="918">
        <v>147.0387396263616</v>
      </c>
      <c r="L14" s="918">
        <v>1282.1403474426052</v>
      </c>
      <c r="M14" s="479"/>
      <c r="N14" s="479"/>
      <c r="O14" s="882">
        <v>16.725807215115971</v>
      </c>
      <c r="P14" s="881">
        <v>2.0791236493817857</v>
      </c>
      <c r="Q14" s="881">
        <v>14.646683565734186</v>
      </c>
      <c r="R14" s="881">
        <v>0.5383445163577838</v>
      </c>
      <c r="S14" s="883"/>
      <c r="T14" s="882">
        <v>28.328059722826826</v>
      </c>
      <c r="U14" s="881" t="s">
        <v>452</v>
      </c>
      <c r="V14" s="884"/>
      <c r="W14" s="881">
        <v>2.9144858299369676</v>
      </c>
      <c r="X14" s="881">
        <v>25.413573892889861</v>
      </c>
      <c r="Z14" s="1147"/>
      <c r="AC14" s="1148"/>
      <c r="AD14" s="1149"/>
      <c r="AE14" s="1150"/>
      <c r="AF14" s="1151"/>
      <c r="AG14" s="1152"/>
      <c r="AH14" s="1152"/>
      <c r="AI14" s="1152"/>
      <c r="AJ14" s="1153"/>
      <c r="AK14" s="1151"/>
      <c r="AL14" s="1152"/>
      <c r="AM14" s="1154"/>
      <c r="AN14" s="1152"/>
      <c r="AO14" s="1152"/>
      <c r="AP14" s="1155"/>
      <c r="AQ14" s="1155"/>
      <c r="AR14" s="1151"/>
      <c r="AS14" s="1152"/>
      <c r="AT14" s="1152"/>
      <c r="AU14" s="1152"/>
      <c r="AV14" s="1153"/>
      <c r="AW14" s="1151"/>
      <c r="AX14" s="1152"/>
      <c r="AY14" s="1154"/>
      <c r="AZ14" s="1152"/>
      <c r="BA14" s="1152"/>
    </row>
    <row r="15" spans="1:53">
      <c r="A15" s="764"/>
      <c r="B15" s="764" t="s">
        <v>6</v>
      </c>
      <c r="C15" s="917">
        <v>104.83004568682564</v>
      </c>
      <c r="D15" s="918">
        <v>11.949099791303487</v>
      </c>
      <c r="E15" s="918">
        <v>92.880945895522146</v>
      </c>
      <c r="F15" s="918">
        <v>27.965978234965611</v>
      </c>
      <c r="G15" s="918"/>
      <c r="H15" s="919">
        <v>166.01621624938676</v>
      </c>
      <c r="I15" s="918" t="s">
        <v>452</v>
      </c>
      <c r="J15" s="918"/>
      <c r="K15" s="918">
        <v>60.08448051088066</v>
      </c>
      <c r="L15" s="918">
        <v>105.93173573850609</v>
      </c>
      <c r="M15" s="479"/>
      <c r="N15" s="479"/>
      <c r="O15" s="882">
        <v>6.3988747084813387</v>
      </c>
      <c r="P15" s="881">
        <v>0.7293786046045827</v>
      </c>
      <c r="Q15" s="881">
        <v>5.6694961038767557</v>
      </c>
      <c r="R15" s="881">
        <v>1.7070563086490231</v>
      </c>
      <c r="S15" s="883"/>
      <c r="T15" s="882">
        <v>10.133706995889202</v>
      </c>
      <c r="U15" s="881" t="s">
        <v>452</v>
      </c>
      <c r="V15" s="884"/>
      <c r="W15" s="881">
        <v>3.6675846146429012</v>
      </c>
      <c r="X15" s="881">
        <v>6.4661223812463007</v>
      </c>
      <c r="Z15" s="1147"/>
      <c r="AC15" s="1148"/>
      <c r="AD15" s="1149"/>
      <c r="AE15" s="1150"/>
      <c r="AF15" s="1151"/>
      <c r="AG15" s="1152"/>
      <c r="AH15" s="1152"/>
      <c r="AI15" s="1152"/>
      <c r="AJ15" s="1153"/>
      <c r="AK15" s="1151"/>
      <c r="AL15" s="1152"/>
      <c r="AM15" s="1154"/>
      <c r="AN15" s="1152"/>
      <c r="AO15" s="1152"/>
      <c r="AP15" s="1155"/>
      <c r="AQ15" s="1155"/>
      <c r="AR15" s="1151"/>
      <c r="AS15" s="1152"/>
      <c r="AT15" s="1152"/>
      <c r="AU15" s="1152"/>
      <c r="AV15" s="1153"/>
      <c r="AW15" s="1151"/>
      <c r="AX15" s="1152"/>
      <c r="AY15" s="1154"/>
      <c r="AZ15" s="1152"/>
      <c r="BA15" s="1152"/>
    </row>
    <row r="16" spans="1:53">
      <c r="A16" s="764"/>
      <c r="B16" s="764" t="s">
        <v>32</v>
      </c>
      <c r="C16" s="917">
        <v>107.45168705821794</v>
      </c>
      <c r="D16" s="918">
        <v>21.924024518198266</v>
      </c>
      <c r="E16" s="918">
        <v>85.527662540019676</v>
      </c>
      <c r="F16" s="918">
        <v>5.1357683670948562E-2</v>
      </c>
      <c r="G16" s="918"/>
      <c r="H16" s="919">
        <v>184.01914572044612</v>
      </c>
      <c r="I16" s="918">
        <v>0.72927910812746966</v>
      </c>
      <c r="J16" s="918"/>
      <c r="K16" s="918">
        <v>171.87704801877453</v>
      </c>
      <c r="L16" s="918">
        <v>11.412818593544126</v>
      </c>
      <c r="M16" s="479"/>
      <c r="N16" s="479"/>
      <c r="O16" s="882">
        <v>8.3916545151825215</v>
      </c>
      <c r="P16" s="881">
        <v>1.7122005654451007</v>
      </c>
      <c r="Q16" s="881">
        <v>6.6794539497374199</v>
      </c>
      <c r="R16" s="881">
        <v>4.010881074702214E-3</v>
      </c>
      <c r="S16" s="883"/>
      <c r="T16" s="882">
        <v>14.371343413420227</v>
      </c>
      <c r="U16" s="881">
        <v>5.6954511260771438E-2</v>
      </c>
      <c r="V16" s="884"/>
      <c r="W16" s="881">
        <v>13.423081996670074</v>
      </c>
      <c r="X16" s="881">
        <v>0.89130690548938096</v>
      </c>
      <c r="Z16" s="1147"/>
      <c r="AC16" s="1148"/>
      <c r="AD16" s="1149"/>
      <c r="AE16" s="1150"/>
      <c r="AF16" s="1151"/>
      <c r="AG16" s="1152"/>
      <c r="AH16" s="1152"/>
      <c r="AI16" s="1152"/>
      <c r="AJ16" s="1153"/>
      <c r="AK16" s="1151"/>
      <c r="AL16" s="1152"/>
      <c r="AM16" s="1154"/>
      <c r="AN16" s="1152"/>
      <c r="AO16" s="1152"/>
      <c r="AP16" s="1155"/>
      <c r="AQ16" s="1155"/>
      <c r="AR16" s="1151"/>
      <c r="AS16" s="1152"/>
      <c r="AT16" s="1152"/>
      <c r="AU16" s="1152"/>
      <c r="AV16" s="1153"/>
      <c r="AW16" s="1151"/>
      <c r="AX16" s="1152"/>
      <c r="AY16" s="1154"/>
      <c r="AZ16" s="1152"/>
      <c r="BA16" s="1152"/>
    </row>
    <row r="17" spans="1:53">
      <c r="A17" s="764"/>
      <c r="B17" s="764" t="s">
        <v>7</v>
      </c>
      <c r="C17" s="917">
        <v>522.16796884260248</v>
      </c>
      <c r="D17" s="918">
        <v>130.8627342062542</v>
      </c>
      <c r="E17" s="918">
        <v>391.30523463634825</v>
      </c>
      <c r="F17" s="918">
        <v>16.03709978017821</v>
      </c>
      <c r="G17" s="918"/>
      <c r="H17" s="919">
        <v>452.92618683170508</v>
      </c>
      <c r="I17" s="918">
        <v>1.3214570218866846</v>
      </c>
      <c r="J17" s="918"/>
      <c r="K17" s="918">
        <v>451.60472980981842</v>
      </c>
      <c r="L17" s="918" t="s">
        <v>452</v>
      </c>
      <c r="M17" s="479"/>
      <c r="N17" s="479"/>
      <c r="O17" s="882">
        <v>19.27047748644793</v>
      </c>
      <c r="P17" s="881">
        <v>4.8294562742449347</v>
      </c>
      <c r="Q17" s="881">
        <v>14.441021212202996</v>
      </c>
      <c r="R17" s="881">
        <v>0.59184513164766361</v>
      </c>
      <c r="S17" s="883"/>
      <c r="T17" s="882">
        <v>16.715126946045974</v>
      </c>
      <c r="U17" s="881">
        <v>4.8768038847767488E-2</v>
      </c>
      <c r="V17" s="884"/>
      <c r="W17" s="881">
        <v>16.666358907198209</v>
      </c>
      <c r="X17" s="881" t="s">
        <v>452</v>
      </c>
      <c r="Z17" s="1147"/>
      <c r="AC17" s="1148"/>
      <c r="AD17" s="1149"/>
      <c r="AE17" s="1150"/>
      <c r="AF17" s="1151"/>
      <c r="AG17" s="1152"/>
      <c r="AH17" s="1152"/>
      <c r="AI17" s="1152"/>
      <c r="AJ17" s="1153"/>
      <c r="AK17" s="1151"/>
      <c r="AL17" s="1152"/>
      <c r="AM17" s="1154"/>
      <c r="AN17" s="1152"/>
      <c r="AO17" s="1152"/>
      <c r="AP17" s="1155"/>
      <c r="AQ17" s="1155"/>
      <c r="AR17" s="1151"/>
      <c r="AS17" s="1152"/>
      <c r="AT17" s="1152"/>
      <c r="AU17" s="1152"/>
      <c r="AV17" s="1153"/>
      <c r="AW17" s="1151"/>
      <c r="AX17" s="1152"/>
      <c r="AY17" s="1154"/>
      <c r="AZ17" s="1152"/>
      <c r="BA17" s="1152"/>
    </row>
    <row r="18" spans="1:53">
      <c r="A18" s="764"/>
      <c r="B18" s="764" t="s">
        <v>8</v>
      </c>
      <c r="C18" s="917">
        <v>5328.3</v>
      </c>
      <c r="D18" s="918">
        <v>687.3</v>
      </c>
      <c r="E18" s="918">
        <v>4641</v>
      </c>
      <c r="F18" s="918">
        <v>17.98</v>
      </c>
      <c r="G18" s="918"/>
      <c r="H18" s="919">
        <v>510</v>
      </c>
      <c r="I18" s="918">
        <v>56</v>
      </c>
      <c r="J18" s="918"/>
      <c r="K18" s="918">
        <v>454</v>
      </c>
      <c r="L18" s="918" t="s">
        <v>452</v>
      </c>
      <c r="M18" s="479"/>
      <c r="N18" s="479"/>
      <c r="O18" s="882">
        <v>25.501884534848941</v>
      </c>
      <c r="P18" s="881">
        <v>3.2895004486987736</v>
      </c>
      <c r="Q18" s="881">
        <v>22.212384086150163</v>
      </c>
      <c r="R18" s="881">
        <v>8.6054442117858218E-2</v>
      </c>
      <c r="S18" s="883"/>
      <c r="T18" s="882">
        <v>2.4409213281483697</v>
      </c>
      <c r="U18" s="881">
        <v>0.26802273407119354</v>
      </c>
      <c r="V18" s="884"/>
      <c r="W18" s="881">
        <v>2.1728985940771763</v>
      </c>
      <c r="X18" s="881" t="s">
        <v>452</v>
      </c>
      <c r="Z18" s="1147"/>
      <c r="AC18" s="1148"/>
      <c r="AD18" s="1149"/>
      <c r="AE18" s="1150"/>
      <c r="AF18" s="1151"/>
      <c r="AG18" s="1152"/>
      <c r="AH18" s="1152"/>
      <c r="AI18" s="1152"/>
      <c r="AJ18" s="1153"/>
      <c r="AK18" s="1151"/>
      <c r="AL18" s="1152"/>
      <c r="AM18" s="1154"/>
      <c r="AN18" s="1152"/>
      <c r="AO18" s="1152"/>
      <c r="AP18" s="1155"/>
      <c r="AQ18" s="1155"/>
      <c r="AR18" s="1151"/>
      <c r="AS18" s="1152"/>
      <c r="AT18" s="1152"/>
      <c r="AU18" s="1152"/>
      <c r="AV18" s="1153"/>
      <c r="AW18" s="1151"/>
      <c r="AX18" s="1152"/>
      <c r="AY18" s="1154"/>
      <c r="AZ18" s="1152"/>
      <c r="BA18" s="1152"/>
    </row>
    <row r="19" spans="1:53" ht="13.5" customHeight="1">
      <c r="A19" s="829"/>
      <c r="B19" s="829" t="s">
        <v>869</v>
      </c>
      <c r="C19" s="917" t="s">
        <v>452</v>
      </c>
      <c r="D19" s="918" t="s">
        <v>452</v>
      </c>
      <c r="E19" s="918" t="s">
        <v>452</v>
      </c>
      <c r="F19" s="918" t="s">
        <v>452</v>
      </c>
      <c r="G19" s="918"/>
      <c r="H19" s="919" t="s">
        <v>452</v>
      </c>
      <c r="I19" s="918" t="s">
        <v>452</v>
      </c>
      <c r="J19" s="918"/>
      <c r="K19" s="918" t="s">
        <v>452</v>
      </c>
      <c r="L19" s="918" t="s">
        <v>452</v>
      </c>
      <c r="M19" s="479"/>
      <c r="N19" s="479"/>
      <c r="O19" s="882" t="s">
        <v>452</v>
      </c>
      <c r="P19" s="881" t="s">
        <v>452</v>
      </c>
      <c r="Q19" s="881" t="s">
        <v>452</v>
      </c>
      <c r="R19" s="881" t="s">
        <v>452</v>
      </c>
      <c r="S19" s="883"/>
      <c r="T19" s="882" t="s">
        <v>452</v>
      </c>
      <c r="U19" s="881" t="s">
        <v>452</v>
      </c>
      <c r="V19" s="884"/>
      <c r="W19" s="881" t="s">
        <v>452</v>
      </c>
      <c r="X19" s="881" t="s">
        <v>452</v>
      </c>
      <c r="Z19" s="1147"/>
      <c r="AC19" s="1148"/>
      <c r="AD19" s="1149"/>
      <c r="AE19" s="1145"/>
      <c r="AF19" s="1151"/>
      <c r="AG19" s="1152"/>
      <c r="AH19" s="1152"/>
      <c r="AI19" s="1152"/>
      <c r="AJ19" s="1153"/>
      <c r="AK19" s="1151"/>
      <c r="AL19" s="1152"/>
      <c r="AM19" s="1154"/>
      <c r="AN19" s="1152"/>
      <c r="AO19" s="1152"/>
      <c r="AP19" s="1155"/>
      <c r="AQ19" s="1155"/>
      <c r="AR19" s="1151"/>
      <c r="AS19" s="1152"/>
      <c r="AT19" s="1152"/>
      <c r="AU19" s="1152"/>
      <c r="AV19" s="1153"/>
      <c r="AW19" s="1151"/>
      <c r="AX19" s="1152"/>
      <c r="AY19" s="1154"/>
      <c r="AZ19" s="1152"/>
      <c r="BA19" s="1152"/>
    </row>
    <row r="20" spans="1:53" ht="13.5" customHeight="1">
      <c r="A20" s="764"/>
      <c r="B20" s="562" t="s">
        <v>9</v>
      </c>
      <c r="C20" s="917">
        <v>20.812695929621835</v>
      </c>
      <c r="D20" s="918">
        <v>4.9352464465452508</v>
      </c>
      <c r="E20" s="918">
        <v>15.877449483076587</v>
      </c>
      <c r="F20" s="918">
        <v>0.14157333466853844</v>
      </c>
      <c r="G20" s="918"/>
      <c r="H20" s="919">
        <v>9.9568526272383089</v>
      </c>
      <c r="I20" s="918">
        <v>0.99526054271982523</v>
      </c>
      <c r="J20" s="918"/>
      <c r="K20" s="918">
        <v>8.9615920845184842</v>
      </c>
      <c r="L20" s="918" t="s">
        <v>452</v>
      </c>
      <c r="M20" s="479"/>
      <c r="N20" s="479"/>
      <c r="O20" s="882">
        <v>5.3494285646507498</v>
      </c>
      <c r="P20" s="881">
        <v>1.2684924818973211</v>
      </c>
      <c r="Q20" s="881">
        <v>4.0809360827534293</v>
      </c>
      <c r="R20" s="881">
        <v>3.6388195120405073E-2</v>
      </c>
      <c r="S20" s="883"/>
      <c r="T20" s="882">
        <v>2.5591817628180888</v>
      </c>
      <c r="U20" s="881">
        <v>0.25580901169644765</v>
      </c>
      <c r="V20" s="884"/>
      <c r="W20" s="881">
        <v>2.3033727511216413</v>
      </c>
      <c r="X20" s="881" t="s">
        <v>452</v>
      </c>
      <c r="Z20" s="1147"/>
      <c r="AC20" s="1148"/>
      <c r="AD20" s="1149"/>
      <c r="AE20" s="1150"/>
      <c r="AF20" s="1151"/>
      <c r="AG20" s="1152"/>
      <c r="AH20" s="1152"/>
      <c r="AI20" s="1152"/>
      <c r="AJ20" s="1153"/>
      <c r="AK20" s="1151"/>
      <c r="AL20" s="1152"/>
      <c r="AM20" s="1154"/>
      <c r="AN20" s="1152"/>
      <c r="AO20" s="1152"/>
      <c r="AP20" s="1155"/>
      <c r="AQ20" s="1155"/>
      <c r="AR20" s="1151"/>
      <c r="AS20" s="1152"/>
      <c r="AT20" s="1152"/>
      <c r="AU20" s="1152"/>
      <c r="AV20" s="1153"/>
      <c r="AW20" s="1151"/>
      <c r="AX20" s="1152"/>
      <c r="AY20" s="1154"/>
      <c r="AZ20" s="1152"/>
      <c r="BA20" s="1152"/>
    </row>
    <row r="21" spans="1:53">
      <c r="A21" s="764"/>
      <c r="B21" s="764" t="s">
        <v>10</v>
      </c>
      <c r="C21" s="917">
        <v>133.43721913654085</v>
      </c>
      <c r="D21" s="918">
        <v>21.104767323819807</v>
      </c>
      <c r="E21" s="918">
        <v>112.33245181272106</v>
      </c>
      <c r="F21" s="918">
        <v>44.537266337766802</v>
      </c>
      <c r="G21" s="918"/>
      <c r="H21" s="919">
        <v>88.861157270605275</v>
      </c>
      <c r="I21" s="918">
        <v>15.498813503430172</v>
      </c>
      <c r="J21" s="918"/>
      <c r="K21" s="918" t="s">
        <v>452</v>
      </c>
      <c r="L21" s="918">
        <v>73.362343767175105</v>
      </c>
      <c r="M21" s="479"/>
      <c r="N21" s="479"/>
      <c r="O21" s="882">
        <v>9.2362126130761357</v>
      </c>
      <c r="P21" s="881">
        <v>1.460822695599191</v>
      </c>
      <c r="Q21" s="881">
        <v>7.7753899174769447</v>
      </c>
      <c r="R21" s="881">
        <v>3.0827655414482935</v>
      </c>
      <c r="S21" s="883"/>
      <c r="T21" s="882">
        <v>6.1507617357903444</v>
      </c>
      <c r="U21" s="881">
        <v>1.0727916670806561</v>
      </c>
      <c r="V21" s="884"/>
      <c r="W21" s="881" t="s">
        <v>452</v>
      </c>
      <c r="X21" s="881">
        <v>5.0779700687096874</v>
      </c>
      <c r="Z21" s="1147"/>
      <c r="AC21" s="1148"/>
      <c r="AD21" s="1149"/>
      <c r="AE21" s="1150"/>
      <c r="AF21" s="1151"/>
      <c r="AG21" s="1152"/>
      <c r="AH21" s="1152"/>
      <c r="AI21" s="1152"/>
      <c r="AJ21" s="1153"/>
      <c r="AK21" s="1151"/>
      <c r="AL21" s="1152"/>
      <c r="AM21" s="1154"/>
      <c r="AN21" s="1152"/>
      <c r="AO21" s="1152"/>
      <c r="AP21" s="1155"/>
      <c r="AQ21" s="1155"/>
      <c r="AR21" s="1151"/>
      <c r="AS21" s="1152"/>
      <c r="AT21" s="1152"/>
      <c r="AU21" s="1152"/>
      <c r="AV21" s="1153"/>
      <c r="AW21" s="1151"/>
      <c r="AX21" s="1152"/>
      <c r="AY21" s="1154"/>
      <c r="AZ21" s="1152"/>
      <c r="BA21" s="1152"/>
    </row>
    <row r="22" spans="1:53">
      <c r="A22" s="764"/>
      <c r="B22" s="764" t="s">
        <v>11</v>
      </c>
      <c r="C22" s="917">
        <v>710.64739339926814</v>
      </c>
      <c r="D22" s="918">
        <v>21.302032387783935</v>
      </c>
      <c r="E22" s="918">
        <v>689.34536101148421</v>
      </c>
      <c r="F22" s="918">
        <v>231.8588559214578</v>
      </c>
      <c r="G22" s="918"/>
      <c r="H22" s="919">
        <v>192.73267398471179</v>
      </c>
      <c r="I22" s="918" t="s">
        <v>452</v>
      </c>
      <c r="J22" s="918"/>
      <c r="K22" s="918">
        <v>57.964713980364451</v>
      </c>
      <c r="L22" s="918">
        <v>134.76796000434734</v>
      </c>
      <c r="M22" s="479"/>
      <c r="N22" s="479"/>
      <c r="O22" s="882">
        <v>4.7801156546253365</v>
      </c>
      <c r="P22" s="881">
        <v>0.14328650106646096</v>
      </c>
      <c r="Q22" s="881">
        <v>4.6368291535588764</v>
      </c>
      <c r="R22" s="881">
        <v>1.5595809639886906</v>
      </c>
      <c r="S22" s="883"/>
      <c r="T22" s="882">
        <v>1.296401676315599</v>
      </c>
      <c r="U22" s="881" t="s">
        <v>452</v>
      </c>
      <c r="V22" s="884"/>
      <c r="W22" s="881">
        <v>0.38989524099717265</v>
      </c>
      <c r="X22" s="881">
        <v>0.90650643531842645</v>
      </c>
      <c r="Z22" s="1147"/>
      <c r="AC22" s="1148"/>
      <c r="AD22" s="1149"/>
      <c r="AE22" s="1150"/>
      <c r="AF22" s="1151"/>
      <c r="AG22" s="1152"/>
      <c r="AH22" s="1152"/>
      <c r="AI22" s="1152"/>
      <c r="AJ22" s="1153"/>
      <c r="AK22" s="1151"/>
      <c r="AL22" s="1152"/>
      <c r="AM22" s="1154"/>
      <c r="AN22" s="1152"/>
      <c r="AO22" s="1152"/>
      <c r="AP22" s="1155"/>
      <c r="AQ22" s="1155"/>
      <c r="AR22" s="1151"/>
      <c r="AS22" s="1152"/>
      <c r="AT22" s="1152"/>
      <c r="AU22" s="1152"/>
      <c r="AV22" s="1153"/>
      <c r="AW22" s="1151"/>
      <c r="AX22" s="1152"/>
      <c r="AY22" s="1154"/>
      <c r="AZ22" s="1152"/>
      <c r="BA22" s="1152"/>
    </row>
    <row r="23" spans="1:53">
      <c r="A23" s="764"/>
      <c r="B23" s="764" t="s">
        <v>12</v>
      </c>
      <c r="C23" s="917">
        <v>108.91796310307309</v>
      </c>
      <c r="D23" s="918">
        <v>14.028015635197093</v>
      </c>
      <c r="E23" s="918">
        <v>94.889947467875984</v>
      </c>
      <c r="F23" s="918">
        <v>18.05320721758315</v>
      </c>
      <c r="G23" s="918"/>
      <c r="H23" s="919">
        <v>165.59102232187649</v>
      </c>
      <c r="I23" s="918">
        <v>8.6358998705005963</v>
      </c>
      <c r="J23" s="918"/>
      <c r="K23" s="918">
        <v>140.78807121174921</v>
      </c>
      <c r="L23" s="918">
        <v>16.167051239626701</v>
      </c>
      <c r="M23" s="479"/>
      <c r="N23" s="479"/>
      <c r="O23" s="882">
        <v>4.0942849748831005</v>
      </c>
      <c r="P23" s="881">
        <v>0.52732067334256061</v>
      </c>
      <c r="Q23" s="881">
        <v>3.5669643015405401</v>
      </c>
      <c r="R23" s="881">
        <v>0.67862979579826865</v>
      </c>
      <c r="S23" s="883"/>
      <c r="T23" s="882">
        <v>6.2246558359377016</v>
      </c>
      <c r="U23" s="881">
        <v>0.32462813366170912</v>
      </c>
      <c r="V23" s="884"/>
      <c r="W23" s="881">
        <v>5.2922995269342588</v>
      </c>
      <c r="X23" s="881">
        <v>0.60772817534173318</v>
      </c>
      <c r="Z23" s="1147"/>
      <c r="AC23" s="1148"/>
      <c r="AD23" s="1149"/>
      <c r="AE23" s="1150"/>
      <c r="AF23" s="1151"/>
      <c r="AG23" s="1152"/>
      <c r="AH23" s="1152"/>
      <c r="AI23" s="1152"/>
      <c r="AJ23" s="1153"/>
      <c r="AK23" s="1151"/>
      <c r="AL23" s="1152"/>
      <c r="AM23" s="1154"/>
      <c r="AN23" s="1152"/>
      <c r="AO23" s="1152"/>
      <c r="AP23" s="1155"/>
      <c r="AQ23" s="1155"/>
      <c r="AR23" s="1151"/>
      <c r="AS23" s="1152"/>
      <c r="AT23" s="1152"/>
      <c r="AU23" s="1152"/>
      <c r="AV23" s="1153"/>
      <c r="AW23" s="1151"/>
      <c r="AX23" s="1152"/>
      <c r="AY23" s="1154"/>
      <c r="AZ23" s="1152"/>
      <c r="BA23" s="1152"/>
    </row>
    <row r="24" spans="1:53">
      <c r="A24" s="764"/>
      <c r="B24" s="764" t="s">
        <v>13</v>
      </c>
      <c r="C24" s="917">
        <v>98.860320620644671</v>
      </c>
      <c r="D24" s="918">
        <v>21.588685592667606</v>
      </c>
      <c r="E24" s="918">
        <v>77.271635027977069</v>
      </c>
      <c r="F24" s="918" t="s">
        <v>452</v>
      </c>
      <c r="G24" s="918"/>
      <c r="H24" s="919">
        <v>9.2787751879441149</v>
      </c>
      <c r="I24" s="918">
        <v>2.4132367580927534</v>
      </c>
      <c r="J24" s="918"/>
      <c r="K24" s="918">
        <v>6.8655384298513615</v>
      </c>
      <c r="L24" s="918" t="s">
        <v>452</v>
      </c>
      <c r="M24" s="479"/>
      <c r="N24" s="479"/>
      <c r="O24" s="882">
        <v>9.3296348167315557</v>
      </c>
      <c r="P24" s="881">
        <v>2.037364955811825</v>
      </c>
      <c r="Q24" s="881">
        <v>7.2922698609197294</v>
      </c>
      <c r="R24" s="881" t="s">
        <v>452</v>
      </c>
      <c r="S24" s="883"/>
      <c r="T24" s="882">
        <v>0.87565550573371964</v>
      </c>
      <c r="U24" s="881">
        <v>0.22774170200917679</v>
      </c>
      <c r="V24" s="884"/>
      <c r="W24" s="881">
        <v>0.64791380372454288</v>
      </c>
      <c r="X24" s="881" t="s">
        <v>452</v>
      </c>
      <c r="Z24" s="1147"/>
      <c r="AC24" s="1148"/>
      <c r="AD24" s="1149"/>
      <c r="AE24" s="1150"/>
      <c r="AF24" s="1151"/>
      <c r="AG24" s="1152"/>
      <c r="AH24" s="1152"/>
      <c r="AI24" s="1152"/>
      <c r="AJ24" s="1153"/>
      <c r="AK24" s="1151"/>
      <c r="AL24" s="1152"/>
      <c r="AM24" s="1154"/>
      <c r="AN24" s="1152"/>
      <c r="AO24" s="1152"/>
      <c r="AP24" s="1155"/>
      <c r="AQ24" s="1155"/>
      <c r="AR24" s="1151"/>
      <c r="AS24" s="1152"/>
      <c r="AT24" s="1152"/>
      <c r="AU24" s="1152"/>
      <c r="AV24" s="1153"/>
      <c r="AW24" s="1151"/>
      <c r="AX24" s="1152"/>
      <c r="AY24" s="1154"/>
      <c r="AZ24" s="1152"/>
      <c r="BA24" s="1152"/>
    </row>
    <row r="25" spans="1:53">
      <c r="A25" s="764"/>
      <c r="B25" s="764" t="s">
        <v>14</v>
      </c>
      <c r="C25" s="917">
        <v>7.0279601888550927</v>
      </c>
      <c r="D25" s="918">
        <v>4.8032151754294405</v>
      </c>
      <c r="E25" s="918">
        <v>2.2247450134256517</v>
      </c>
      <c r="F25" s="918">
        <v>4.2819360091037648</v>
      </c>
      <c r="G25" s="918"/>
      <c r="H25" s="919">
        <v>13.41362997634462</v>
      </c>
      <c r="I25" s="918">
        <v>0.89362142798687272</v>
      </c>
      <c r="J25" s="918"/>
      <c r="K25" s="881">
        <v>0.27925669624589772</v>
      </c>
      <c r="L25" s="918">
        <v>12.240751852111851</v>
      </c>
      <c r="M25" s="479"/>
      <c r="N25" s="479"/>
      <c r="O25" s="882">
        <v>0.65442396745349374</v>
      </c>
      <c r="P25" s="881">
        <v>0.44726194331920904</v>
      </c>
      <c r="Q25" s="881">
        <v>0.20716202413428478</v>
      </c>
      <c r="R25" s="881">
        <v>0.39872188745510878</v>
      </c>
      <c r="S25" s="883"/>
      <c r="T25" s="882">
        <v>1.2490396517887212</v>
      </c>
      <c r="U25" s="881">
        <v>8.3211524338457493E-2</v>
      </c>
      <c r="V25" s="884"/>
      <c r="W25" s="881">
        <v>2.6003601355767965E-2</v>
      </c>
      <c r="X25" s="881">
        <v>1.1398245260944957</v>
      </c>
      <c r="Z25" s="1147"/>
      <c r="AC25" s="1148"/>
      <c r="AD25" s="1149"/>
      <c r="AE25" s="1150"/>
      <c r="AF25" s="1151"/>
      <c r="AG25" s="1152"/>
      <c r="AH25" s="1152"/>
      <c r="AI25" s="1152"/>
      <c r="AJ25" s="1153"/>
      <c r="AK25" s="1151"/>
      <c r="AL25" s="1152"/>
      <c r="AM25" s="1154"/>
      <c r="AN25" s="1152"/>
      <c r="AO25" s="1152"/>
      <c r="AP25" s="1155"/>
      <c r="AQ25" s="1155"/>
      <c r="AR25" s="1151"/>
      <c r="AS25" s="1152"/>
      <c r="AT25" s="1152"/>
      <c r="AU25" s="1152"/>
      <c r="AV25" s="1153"/>
      <c r="AW25" s="1151"/>
      <c r="AX25" s="1152"/>
      <c r="AY25" s="1154"/>
      <c r="AZ25" s="1152"/>
      <c r="BA25" s="1152"/>
    </row>
    <row r="26" spans="1:53">
      <c r="A26" s="764"/>
      <c r="B26" s="764" t="s">
        <v>15</v>
      </c>
      <c r="C26" s="917">
        <v>74.006320564062733</v>
      </c>
      <c r="D26" s="918">
        <v>10.712532393938853</v>
      </c>
      <c r="E26" s="918">
        <v>63.293788170123882</v>
      </c>
      <c r="F26" s="918">
        <v>6.3584063241443518</v>
      </c>
      <c r="G26" s="918"/>
      <c r="H26" s="919">
        <v>21.660049369422172</v>
      </c>
      <c r="I26" s="918">
        <v>7.837426925630103</v>
      </c>
      <c r="J26" s="918"/>
      <c r="K26" s="918">
        <v>6.9113112218960344</v>
      </c>
      <c r="L26" s="918">
        <v>6.9113112218960344</v>
      </c>
      <c r="M26" s="479"/>
      <c r="N26" s="479"/>
      <c r="O26" s="882">
        <v>5.0052604782800296</v>
      </c>
      <c r="P26" s="881">
        <v>0.72451940057284703</v>
      </c>
      <c r="Q26" s="881">
        <v>4.2807410777071828</v>
      </c>
      <c r="R26" s="881">
        <v>0.43003732163033498</v>
      </c>
      <c r="S26" s="883"/>
      <c r="T26" s="882">
        <v>1.464931484771163</v>
      </c>
      <c r="U26" s="881">
        <v>0.53006774209652163</v>
      </c>
      <c r="V26" s="884"/>
      <c r="W26" s="881">
        <v>0.46743187133732073</v>
      </c>
      <c r="X26" s="881">
        <v>0.46743187133732073</v>
      </c>
      <c r="Z26" s="1147"/>
      <c r="AC26" s="1148"/>
      <c r="AD26" s="1149"/>
      <c r="AE26" s="1150"/>
      <c r="AF26" s="1151"/>
      <c r="AG26" s="1152"/>
      <c r="AH26" s="1152"/>
      <c r="AI26" s="1152"/>
      <c r="AJ26" s="1153"/>
      <c r="AK26" s="1151"/>
      <c r="AL26" s="1152"/>
      <c r="AM26" s="1154"/>
      <c r="AN26" s="1152"/>
      <c r="AO26" s="1152"/>
      <c r="AP26" s="1155"/>
      <c r="AQ26" s="1155"/>
      <c r="AR26" s="1151"/>
      <c r="AS26" s="1152"/>
      <c r="AT26" s="1152"/>
      <c r="AU26" s="1152"/>
      <c r="AV26" s="1153"/>
      <c r="AW26" s="1151"/>
      <c r="AX26" s="1152"/>
      <c r="AY26" s="1154"/>
      <c r="AZ26" s="1152"/>
      <c r="BA26" s="1152"/>
    </row>
    <row r="27" spans="1:53">
      <c r="A27" s="764"/>
      <c r="B27" s="764" t="s">
        <v>16</v>
      </c>
      <c r="C27" s="917">
        <v>18.026666666666664</v>
      </c>
      <c r="D27" s="918">
        <v>14.4</v>
      </c>
      <c r="E27" s="918">
        <v>3.6266666666666665</v>
      </c>
      <c r="F27" s="918">
        <v>11.333333333333334</v>
      </c>
      <c r="G27" s="918"/>
      <c r="H27" s="919">
        <v>6.8533333333333335</v>
      </c>
      <c r="I27" s="918">
        <v>6.8533333333333335</v>
      </c>
      <c r="J27" s="918"/>
      <c r="K27" s="918" t="s">
        <v>452</v>
      </c>
      <c r="L27" s="918" t="s">
        <v>452</v>
      </c>
      <c r="M27" s="479"/>
      <c r="N27" s="479"/>
      <c r="O27" s="882">
        <v>2.5748045471962433</v>
      </c>
      <c r="P27" s="881">
        <v>2.0567965317839816</v>
      </c>
      <c r="Q27" s="881">
        <v>0.51800801541226205</v>
      </c>
      <c r="R27" s="881">
        <v>1.6187750329433777</v>
      </c>
      <c r="S27" s="883"/>
      <c r="T27" s="882">
        <v>0.97888278462693656</v>
      </c>
      <c r="U27" s="881">
        <v>0.97888278462693656</v>
      </c>
      <c r="V27" s="884"/>
      <c r="W27" s="881" t="s">
        <v>452</v>
      </c>
      <c r="X27" s="881" t="s">
        <v>452</v>
      </c>
      <c r="Z27" s="1147"/>
      <c r="AC27" s="1148"/>
      <c r="AD27" s="1149"/>
      <c r="AE27" s="1150"/>
      <c r="AF27" s="1151"/>
      <c r="AG27" s="1152"/>
      <c r="AH27" s="1152"/>
      <c r="AI27" s="1152"/>
      <c r="AJ27" s="1153"/>
      <c r="AK27" s="1151"/>
      <c r="AL27" s="1152"/>
      <c r="AM27" s="1154"/>
      <c r="AN27" s="1152"/>
      <c r="AO27" s="1152"/>
      <c r="AP27" s="1155"/>
      <c r="AQ27" s="1155"/>
      <c r="AR27" s="1151"/>
      <c r="AS27" s="1152"/>
      <c r="AT27" s="1152"/>
      <c r="AU27" s="1152"/>
      <c r="AV27" s="1153"/>
      <c r="AW27" s="1151"/>
      <c r="AX27" s="1152"/>
      <c r="AY27" s="1154"/>
      <c r="AZ27" s="1152"/>
      <c r="BA27" s="1152"/>
    </row>
    <row r="28" spans="1:53">
      <c r="A28" s="764"/>
      <c r="B28" s="764" t="s">
        <v>17</v>
      </c>
      <c r="C28" s="917">
        <v>17.693238243228844</v>
      </c>
      <c r="D28" s="918">
        <v>2.3262994325975441</v>
      </c>
      <c r="E28" s="918">
        <v>15.366938810631298</v>
      </c>
      <c r="F28" s="918">
        <v>2.6725110975010953</v>
      </c>
      <c r="G28" s="918"/>
      <c r="H28" s="919">
        <v>12.32999438165278</v>
      </c>
      <c r="I28" s="918" t="s">
        <v>452</v>
      </c>
      <c r="J28" s="918"/>
      <c r="K28" s="918">
        <v>12.147777715914069</v>
      </c>
      <c r="L28" s="918">
        <v>0.18221666573871104</v>
      </c>
      <c r="M28" s="479"/>
      <c r="N28" s="479"/>
      <c r="O28" s="882">
        <v>5.2761463161134641</v>
      </c>
      <c r="P28" s="881">
        <v>0.69370547170321195</v>
      </c>
      <c r="Q28" s="881">
        <v>4.582440844410252</v>
      </c>
      <c r="R28" s="881">
        <v>0.88478224805071415</v>
      </c>
      <c r="S28" s="883"/>
      <c r="T28" s="882">
        <v>4.0820635535067034</v>
      </c>
      <c r="U28" s="881" t="s">
        <v>452</v>
      </c>
      <c r="V28" s="884"/>
      <c r="W28" s="881">
        <v>4.0217374911396089</v>
      </c>
      <c r="X28" s="881">
        <v>6.032606236709414E-2</v>
      </c>
      <c r="Z28" s="1147"/>
      <c r="AC28" s="1148"/>
      <c r="AD28" s="1149"/>
      <c r="AE28" s="1150"/>
      <c r="AF28" s="1151"/>
      <c r="AG28" s="1152"/>
      <c r="AH28" s="1152"/>
      <c r="AI28" s="1152"/>
      <c r="AJ28" s="1153"/>
      <c r="AK28" s="1151"/>
      <c r="AL28" s="1152"/>
      <c r="AM28" s="1154"/>
      <c r="AN28" s="1152"/>
      <c r="AO28" s="1152"/>
      <c r="AP28" s="1155"/>
      <c r="AQ28" s="1155"/>
      <c r="AR28" s="1151"/>
      <c r="AS28" s="1152"/>
      <c r="AT28" s="1152"/>
      <c r="AU28" s="1152"/>
      <c r="AV28" s="1153"/>
      <c r="AW28" s="1151"/>
      <c r="AX28" s="1152"/>
      <c r="AY28" s="1154"/>
      <c r="AZ28" s="1152"/>
      <c r="BA28" s="1152"/>
    </row>
    <row r="29" spans="1:53">
      <c r="A29" s="764"/>
      <c r="B29" s="764" t="s">
        <v>18</v>
      </c>
      <c r="C29" s="917">
        <v>25.234121210982789</v>
      </c>
      <c r="D29" s="918">
        <v>2.7673372045961901</v>
      </c>
      <c r="E29" s="918">
        <v>22.466784006386597</v>
      </c>
      <c r="F29" s="918">
        <v>10.01376658570374</v>
      </c>
      <c r="G29" s="918"/>
      <c r="H29" s="919">
        <v>69.354605612096279</v>
      </c>
      <c r="I29" s="918">
        <v>2.995571200851546</v>
      </c>
      <c r="J29" s="918"/>
      <c r="K29" s="918">
        <v>45.932091746390377</v>
      </c>
      <c r="L29" s="918">
        <v>20.426942664854352</v>
      </c>
      <c r="M29" s="479"/>
      <c r="N29" s="479"/>
      <c r="O29" s="882">
        <v>3.5051335544057456</v>
      </c>
      <c r="P29" s="881">
        <v>0.3843956526595334</v>
      </c>
      <c r="Q29" s="881">
        <v>3.120737901746212</v>
      </c>
      <c r="R29" s="881">
        <v>1.3909574647783118</v>
      </c>
      <c r="S29" s="883"/>
      <c r="T29" s="882">
        <v>9.6336683671683065</v>
      </c>
      <c r="U29" s="881">
        <v>0.41609838689949497</v>
      </c>
      <c r="V29" s="884"/>
      <c r="W29" s="881">
        <v>6.3801752657922552</v>
      </c>
      <c r="X29" s="881">
        <v>2.8373947144765559</v>
      </c>
      <c r="Z29" s="1147"/>
      <c r="AC29" s="1148"/>
      <c r="AD29" s="1149"/>
      <c r="AE29" s="1150"/>
      <c r="AF29" s="1151"/>
      <c r="AG29" s="1152"/>
      <c r="AH29" s="1152"/>
      <c r="AI29" s="1152"/>
      <c r="AJ29" s="1153"/>
      <c r="AK29" s="1151"/>
      <c r="AL29" s="1152"/>
      <c r="AM29" s="1154"/>
      <c r="AN29" s="1152"/>
      <c r="AO29" s="1152"/>
      <c r="AP29" s="1155"/>
      <c r="AQ29" s="1155"/>
      <c r="AR29" s="1151"/>
      <c r="AS29" s="1152"/>
      <c r="AT29" s="1152"/>
      <c r="AU29" s="1152"/>
      <c r="AV29" s="1153"/>
      <c r="AW29" s="1151"/>
      <c r="AX29" s="1152"/>
      <c r="AY29" s="1154"/>
      <c r="AZ29" s="1152"/>
      <c r="BA29" s="1152"/>
    </row>
    <row r="30" spans="1:53">
      <c r="A30" s="838"/>
      <c r="B30" s="838" t="s">
        <v>776</v>
      </c>
      <c r="C30" s="587"/>
      <c r="D30" s="564"/>
      <c r="E30" s="564"/>
      <c r="F30" s="564"/>
      <c r="G30" s="479"/>
      <c r="H30" s="587" t="s">
        <v>452</v>
      </c>
      <c r="I30" s="884" t="s">
        <v>452</v>
      </c>
      <c r="J30" s="884"/>
      <c r="K30" s="884" t="s">
        <v>452</v>
      </c>
      <c r="L30" s="884" t="s">
        <v>452</v>
      </c>
      <c r="M30" s="479"/>
      <c r="N30" s="479"/>
      <c r="O30" s="587" t="s">
        <v>452</v>
      </c>
      <c r="P30" s="564" t="s">
        <v>452</v>
      </c>
      <c r="Q30" s="564" t="s">
        <v>452</v>
      </c>
      <c r="R30" s="564" t="s">
        <v>452</v>
      </c>
      <c r="S30" s="564"/>
      <c r="T30" s="587" t="s">
        <v>452</v>
      </c>
      <c r="U30" s="564" t="s">
        <v>452</v>
      </c>
      <c r="V30" s="564"/>
      <c r="W30" s="564" t="s">
        <v>452</v>
      </c>
      <c r="X30" s="564" t="s">
        <v>452</v>
      </c>
      <c r="Z30" s="1147"/>
      <c r="AC30" s="1148"/>
      <c r="AD30" s="1149"/>
      <c r="AE30" s="1156"/>
      <c r="AF30" s="1151"/>
      <c r="AG30" s="1152"/>
      <c r="AH30" s="1152"/>
      <c r="AI30" s="1152"/>
      <c r="AJ30" s="1153"/>
      <c r="AK30" s="1151"/>
      <c r="AL30" s="1152"/>
      <c r="AM30" s="1154"/>
      <c r="AN30" s="1152"/>
      <c r="AO30" s="1152"/>
      <c r="AP30" s="1155"/>
      <c r="AQ30" s="1155"/>
      <c r="AR30" s="1151"/>
      <c r="AS30" s="1152"/>
      <c r="AT30" s="1152"/>
      <c r="AU30" s="1152"/>
      <c r="AV30" s="1153"/>
      <c r="AW30" s="1151"/>
      <c r="AX30" s="1152"/>
      <c r="AY30" s="1154"/>
      <c r="AZ30" s="1152"/>
      <c r="BA30" s="1152"/>
    </row>
    <row r="31" spans="1:53">
      <c r="A31" s="563"/>
      <c r="B31" s="563" t="s">
        <v>1011</v>
      </c>
      <c r="C31" s="896">
        <v>65.737835098814159</v>
      </c>
      <c r="D31" s="881">
        <v>7.6465884576745644</v>
      </c>
      <c r="E31" s="881">
        <v>58.091246641139598</v>
      </c>
      <c r="F31" s="881" t="s">
        <v>452</v>
      </c>
      <c r="G31" s="883"/>
      <c r="H31" s="882">
        <v>12.211715895092214</v>
      </c>
      <c r="I31" s="881" t="s">
        <v>452</v>
      </c>
      <c r="J31" s="884"/>
      <c r="K31" s="881">
        <v>12.211715895092214</v>
      </c>
      <c r="L31" s="881" t="s">
        <v>452</v>
      </c>
      <c r="M31" s="479"/>
      <c r="N31" s="479"/>
      <c r="O31" s="882">
        <v>15.198667161326993</v>
      </c>
      <c r="P31" s="881">
        <v>1.7679005205015772</v>
      </c>
      <c r="Q31" s="881">
        <v>13.430766640825414</v>
      </c>
      <c r="R31" s="881" t="s">
        <v>452</v>
      </c>
      <c r="S31" s="883"/>
      <c r="T31" s="882">
        <v>2.8233635178159515</v>
      </c>
      <c r="U31" s="881" t="s">
        <v>452</v>
      </c>
      <c r="V31" s="884"/>
      <c r="W31" s="881">
        <v>2.8233635178159515</v>
      </c>
      <c r="X31" s="881" t="s">
        <v>452</v>
      </c>
      <c r="Z31" s="1147"/>
      <c r="AC31" s="1148"/>
      <c r="AD31" s="1149"/>
      <c r="AE31" s="1157"/>
      <c r="AF31" s="1158"/>
      <c r="AG31" s="1159"/>
      <c r="AH31" s="1159"/>
      <c r="AI31" s="1159"/>
      <c r="AJ31" s="1160"/>
      <c r="AK31" s="1158"/>
      <c r="AL31" s="1159"/>
      <c r="AM31" s="1161"/>
      <c r="AN31" s="1159"/>
      <c r="AO31" s="1159"/>
      <c r="AP31" s="1162"/>
      <c r="AQ31" s="1162"/>
      <c r="AR31" s="1158"/>
      <c r="AS31" s="1159"/>
      <c r="AT31" s="1159"/>
      <c r="AU31" s="1159"/>
      <c r="AV31" s="1160"/>
      <c r="AW31" s="1158"/>
      <c r="AX31" s="1159"/>
      <c r="AY31" s="1161"/>
      <c r="AZ31" s="1159"/>
      <c r="BA31" s="1159"/>
    </row>
    <row r="32" spans="1:53">
      <c r="A32" s="764"/>
      <c r="B32" s="562" t="s">
        <v>547</v>
      </c>
      <c r="C32" s="896">
        <v>42.113300610177824</v>
      </c>
      <c r="D32" s="881">
        <v>10.95630584980236</v>
      </c>
      <c r="E32" s="881">
        <v>31.156994760375461</v>
      </c>
      <c r="F32" s="881">
        <v>14.722535985671922</v>
      </c>
      <c r="G32" s="883"/>
      <c r="H32" s="882">
        <v>61.172707661396508</v>
      </c>
      <c r="I32" s="881">
        <v>1.8260509749670601</v>
      </c>
      <c r="J32" s="884"/>
      <c r="K32" s="881">
        <v>59.346656686429448</v>
      </c>
      <c r="L32" s="881" t="s">
        <v>452</v>
      </c>
      <c r="M32" s="479"/>
      <c r="N32" s="479"/>
      <c r="O32" s="882">
        <v>8.1786083953747628</v>
      </c>
      <c r="P32" s="881">
        <v>2.127768037821077</v>
      </c>
      <c r="Q32" s="881">
        <v>6.0508403575536853</v>
      </c>
      <c r="R32" s="881">
        <v>2.8591883008220722</v>
      </c>
      <c r="S32" s="883"/>
      <c r="T32" s="882">
        <v>11.880038211167678</v>
      </c>
      <c r="U32" s="881">
        <v>0.35462800630351282</v>
      </c>
      <c r="V32" s="884"/>
      <c r="W32" s="881">
        <v>11.525410204864166</v>
      </c>
      <c r="X32" s="881" t="s">
        <v>452</v>
      </c>
      <c r="Z32" s="1147"/>
      <c r="AC32" s="1148"/>
      <c r="AD32" s="1149"/>
      <c r="AE32" s="1150"/>
      <c r="AF32" s="1151"/>
      <c r="AG32" s="1152"/>
      <c r="AH32" s="1152"/>
      <c r="AI32" s="1152"/>
      <c r="AJ32" s="1153"/>
      <c r="AK32" s="1151"/>
      <c r="AL32" s="1152"/>
      <c r="AM32" s="1154"/>
      <c r="AN32" s="1152"/>
      <c r="AO32" s="1152"/>
      <c r="AP32" s="1155"/>
      <c r="AQ32" s="1155"/>
      <c r="AR32" s="1151"/>
      <c r="AS32" s="1152"/>
      <c r="AT32" s="1152"/>
      <c r="AU32" s="1152"/>
      <c r="AV32" s="1153"/>
      <c r="AW32" s="1151"/>
      <c r="AX32" s="1152"/>
      <c r="AY32" s="1154"/>
      <c r="AZ32" s="1152"/>
      <c r="BA32" s="1152"/>
    </row>
    <row r="33" spans="1:54">
      <c r="A33" s="7"/>
      <c r="B33" s="7" t="s">
        <v>1012</v>
      </c>
      <c r="C33" s="896">
        <v>1.9670000000000001</v>
      </c>
      <c r="D33" s="881">
        <v>0.18</v>
      </c>
      <c r="E33" s="881">
        <v>1.7870000000000001</v>
      </c>
      <c r="F33" s="881">
        <v>0.34699999999999998</v>
      </c>
      <c r="G33" s="883"/>
      <c r="H33" s="882">
        <v>2.2026739885540163</v>
      </c>
      <c r="I33" s="881">
        <v>0.45651274374176504</v>
      </c>
      <c r="J33" s="884"/>
      <c r="K33" s="881">
        <v>1.7461612448122512</v>
      </c>
      <c r="L33" s="881" t="s">
        <v>452</v>
      </c>
      <c r="M33" s="479"/>
      <c r="N33" s="479"/>
      <c r="O33" s="882">
        <v>8.27</v>
      </c>
      <c r="P33" s="881">
        <v>0.76</v>
      </c>
      <c r="Q33" s="881">
        <v>7.51</v>
      </c>
      <c r="R33" s="881">
        <v>1.46</v>
      </c>
      <c r="S33" s="883"/>
      <c r="T33" s="882">
        <v>9.2607254074959098</v>
      </c>
      <c r="U33" s="881">
        <v>1.9193213279784269</v>
      </c>
      <c r="V33" s="884"/>
      <c r="W33" s="881">
        <v>7.3414040795174831</v>
      </c>
      <c r="X33" s="881" t="s">
        <v>452</v>
      </c>
      <c r="Z33" s="1147"/>
      <c r="AC33" s="1148"/>
      <c r="AD33" s="1149"/>
      <c r="AE33" s="1163"/>
      <c r="AF33" s="1151"/>
      <c r="AG33" s="1152"/>
      <c r="AH33" s="1152"/>
      <c r="AI33" s="1152"/>
      <c r="AJ33" s="1153"/>
      <c r="AK33" s="1151"/>
      <c r="AL33" s="1152"/>
      <c r="AM33" s="1154"/>
      <c r="AN33" s="1152"/>
      <c r="AO33" s="1152"/>
      <c r="AP33" s="1155"/>
      <c r="AQ33" s="1155"/>
      <c r="AR33" s="1151"/>
      <c r="AS33" s="1152"/>
      <c r="AT33" s="1152"/>
      <c r="AU33" s="1152"/>
      <c r="AV33" s="1153"/>
      <c r="AW33" s="1151"/>
      <c r="AX33" s="1152"/>
      <c r="AY33" s="1154"/>
      <c r="AZ33" s="1152"/>
      <c r="BA33" s="1152"/>
    </row>
    <row r="34" spans="1:54">
      <c r="A34" s="7"/>
      <c r="B34" s="7" t="s">
        <v>541</v>
      </c>
      <c r="C34" s="896">
        <v>22.550381835611422</v>
      </c>
      <c r="D34" s="881">
        <v>6.3937269094473352</v>
      </c>
      <c r="E34" s="881">
        <v>16.156654926164087</v>
      </c>
      <c r="F34" s="881">
        <v>0.61610710785105727</v>
      </c>
      <c r="G34" s="883"/>
      <c r="H34" s="882">
        <v>37.970293297142426</v>
      </c>
      <c r="I34" s="881">
        <v>3.8775971822793812E-2</v>
      </c>
      <c r="J34" s="884"/>
      <c r="K34" s="881">
        <v>37.931517325319632</v>
      </c>
      <c r="L34" s="881" t="s">
        <v>452</v>
      </c>
      <c r="M34" s="479"/>
      <c r="N34" s="479"/>
      <c r="O34" s="882">
        <v>9.1911264362891103</v>
      </c>
      <c r="P34" s="881">
        <v>2.6059670675301949</v>
      </c>
      <c r="Q34" s="881">
        <v>6.5851593687589149</v>
      </c>
      <c r="R34" s="881">
        <v>0.25111407726200669</v>
      </c>
      <c r="S34" s="883"/>
      <c r="T34" s="882">
        <v>15.476002537832619</v>
      </c>
      <c r="U34" s="881">
        <v>1.5804382485021397E-2</v>
      </c>
      <c r="V34" s="884"/>
      <c r="W34" s="881">
        <v>15.460198155347598</v>
      </c>
      <c r="X34" s="881" t="s">
        <v>452</v>
      </c>
      <c r="Z34" s="1147"/>
      <c r="AB34" s="1164"/>
      <c r="AC34" s="1148"/>
      <c r="AD34" s="1149"/>
      <c r="AE34" s="1163"/>
      <c r="AF34" s="1151"/>
      <c r="AG34" s="1152"/>
      <c r="AH34" s="1152"/>
      <c r="AI34" s="1152"/>
      <c r="AJ34" s="1153"/>
      <c r="AK34" s="1151"/>
      <c r="AL34" s="1152"/>
      <c r="AM34" s="1154"/>
      <c r="AN34" s="1152"/>
      <c r="AO34" s="1152"/>
      <c r="AP34" s="1155"/>
      <c r="AQ34" s="1155"/>
      <c r="AR34" s="1151"/>
      <c r="AS34" s="1152"/>
      <c r="AT34" s="1152"/>
      <c r="AU34" s="1152"/>
      <c r="AV34" s="1153"/>
      <c r="AW34" s="1151"/>
      <c r="AX34" s="1152"/>
      <c r="AY34" s="1154"/>
      <c r="AZ34" s="1152"/>
      <c r="BA34" s="1152"/>
    </row>
    <row r="35" spans="1:54">
      <c r="A35" s="7"/>
      <c r="B35" s="7" t="s">
        <v>19</v>
      </c>
      <c r="C35" s="896">
        <v>12.151964295383831</v>
      </c>
      <c r="D35" s="881" t="s">
        <v>452</v>
      </c>
      <c r="E35" s="881">
        <v>12.151964295383831</v>
      </c>
      <c r="F35" s="881">
        <v>48.730141098973149</v>
      </c>
      <c r="G35" s="883"/>
      <c r="H35" s="882">
        <v>55.669753413569694</v>
      </c>
      <c r="I35" s="881">
        <v>43.105080896833208</v>
      </c>
      <c r="J35" s="884"/>
      <c r="K35" s="881">
        <v>12.56467251673649</v>
      </c>
      <c r="L35" s="881" t="s">
        <v>452</v>
      </c>
      <c r="M35" s="479"/>
      <c r="N35" s="479"/>
      <c r="O35" s="882">
        <v>3.412660153565414</v>
      </c>
      <c r="P35" s="881" t="s">
        <v>452</v>
      </c>
      <c r="Q35" s="881">
        <v>3.412660153565414</v>
      </c>
      <c r="R35" s="881">
        <v>13.684981848511372</v>
      </c>
      <c r="S35" s="883"/>
      <c r="T35" s="882">
        <v>15.633846892182691</v>
      </c>
      <c r="U35" s="881">
        <v>12.105285073024488</v>
      </c>
      <c r="V35" s="884"/>
      <c r="W35" s="881">
        <v>3.528561819158202</v>
      </c>
      <c r="X35" s="881" t="s">
        <v>452</v>
      </c>
      <c r="Z35" s="1147"/>
      <c r="AC35" s="1148"/>
      <c r="AD35" s="1149"/>
      <c r="AE35" s="1163"/>
      <c r="AF35" s="1151"/>
      <c r="AG35" s="1152"/>
      <c r="AH35" s="1152"/>
      <c r="AI35" s="1152"/>
      <c r="AJ35" s="1153"/>
      <c r="AK35" s="1151"/>
      <c r="AL35" s="1152"/>
      <c r="AM35" s="1154"/>
      <c r="AN35" s="1152"/>
      <c r="AO35" s="1152"/>
      <c r="AP35" s="1155"/>
      <c r="AQ35" s="1155"/>
      <c r="AR35" s="1151"/>
      <c r="AS35" s="1152"/>
      <c r="AT35" s="1152"/>
      <c r="AU35" s="1152"/>
      <c r="AV35" s="1153"/>
      <c r="AW35" s="1151"/>
      <c r="AX35" s="1152"/>
      <c r="AY35" s="1154"/>
      <c r="AZ35" s="1152"/>
      <c r="BA35" s="1152"/>
    </row>
    <row r="36" spans="1:54">
      <c r="A36" s="7"/>
      <c r="B36" s="563" t="s">
        <v>1013</v>
      </c>
      <c r="C36" s="896">
        <v>1.5871</v>
      </c>
      <c r="D36" s="881">
        <v>0.435</v>
      </c>
      <c r="E36" s="881">
        <v>1.1520999999999999</v>
      </c>
      <c r="F36" s="881" t="s">
        <v>452</v>
      </c>
      <c r="G36" s="883"/>
      <c r="H36" s="882">
        <v>1.3769999999999998</v>
      </c>
      <c r="I36" s="881">
        <v>1.0269999999999999</v>
      </c>
      <c r="J36" s="884"/>
      <c r="K36" s="881">
        <v>0.35</v>
      </c>
      <c r="L36" s="881" t="s">
        <v>452</v>
      </c>
      <c r="M36" s="479"/>
      <c r="N36" s="479"/>
      <c r="O36" s="882">
        <v>5.8</v>
      </c>
      <c r="P36" s="881">
        <v>1.6</v>
      </c>
      <c r="Q36" s="881">
        <v>4.1999999999999993</v>
      </c>
      <c r="R36" s="881" t="s">
        <v>452</v>
      </c>
      <c r="S36" s="883"/>
      <c r="T36" s="882">
        <v>5.0883310701650863</v>
      </c>
      <c r="U36" s="881">
        <v>3.8</v>
      </c>
      <c r="V36" s="884"/>
      <c r="W36" s="881">
        <v>1.2883310701650865</v>
      </c>
      <c r="X36" s="881" t="s">
        <v>452</v>
      </c>
      <c r="Z36" s="1147"/>
      <c r="AC36" s="1148"/>
      <c r="AD36" s="1149"/>
      <c r="AE36" s="1163"/>
      <c r="AF36" s="1151"/>
      <c r="AG36" s="1152"/>
      <c r="AH36" s="1152"/>
      <c r="AI36" s="1152"/>
      <c r="AJ36" s="1153"/>
      <c r="AK36" s="1151"/>
      <c r="AL36" s="1152"/>
      <c r="AM36" s="1154"/>
      <c r="AN36" s="1152"/>
      <c r="AO36" s="1152"/>
      <c r="AP36" s="1155"/>
      <c r="AQ36" s="1155"/>
      <c r="AR36" s="1151"/>
      <c r="AS36" s="1152"/>
      <c r="AT36" s="1152"/>
      <c r="AU36" s="1152"/>
      <c r="AV36" s="1153"/>
      <c r="AW36" s="1151"/>
      <c r="AX36" s="1152"/>
      <c r="AY36" s="1154"/>
      <c r="AZ36" s="1152"/>
      <c r="BA36" s="1152"/>
    </row>
    <row r="37" spans="1:54">
      <c r="A37" s="7"/>
      <c r="B37" s="563" t="s">
        <v>20</v>
      </c>
      <c r="C37" s="896">
        <v>12.896485010704863</v>
      </c>
      <c r="D37" s="881">
        <v>4.6792556233530913</v>
      </c>
      <c r="E37" s="881">
        <v>8.2172293873517699</v>
      </c>
      <c r="F37" s="881">
        <v>0.57064092967720625</v>
      </c>
      <c r="G37" s="883"/>
      <c r="H37" s="882">
        <v>19.858304352766776</v>
      </c>
      <c r="I37" s="881">
        <v>1.3695382312252951</v>
      </c>
      <c r="J37" s="884"/>
      <c r="K37" s="881">
        <v>13.923638684123832</v>
      </c>
      <c r="L37" s="881">
        <v>4.56512743741765</v>
      </c>
      <c r="M37" s="479"/>
      <c r="N37" s="479"/>
      <c r="O37" s="882">
        <v>4.7843243517875598</v>
      </c>
      <c r="P37" s="881">
        <v>1.7359052957813266</v>
      </c>
      <c r="Q37" s="881">
        <v>3.0484190560062325</v>
      </c>
      <c r="R37" s="881">
        <v>0.21169576777821061</v>
      </c>
      <c r="S37" s="883"/>
      <c r="T37" s="882">
        <v>7.3670127186817282</v>
      </c>
      <c r="U37" s="881">
        <v>0.50806984266770538</v>
      </c>
      <c r="V37" s="884"/>
      <c r="W37" s="881">
        <v>5.1653767337883378</v>
      </c>
      <c r="X37" s="881">
        <v>1.6935661422256849</v>
      </c>
      <c r="Z37" s="1147"/>
      <c r="AC37" s="1148"/>
      <c r="AD37" s="1149"/>
      <c r="AE37" s="1163"/>
      <c r="AF37" s="1151"/>
      <c r="AG37" s="1152"/>
      <c r="AH37" s="1152"/>
      <c r="AI37" s="1152"/>
      <c r="AJ37" s="1153"/>
      <c r="AK37" s="1151"/>
      <c r="AL37" s="1152"/>
      <c r="AM37" s="1154"/>
      <c r="AN37" s="1152"/>
      <c r="AO37" s="1152"/>
      <c r="AP37" s="1155"/>
      <c r="AQ37" s="1155"/>
      <c r="AR37" s="1151"/>
      <c r="AS37" s="1152"/>
      <c r="AT37" s="1152"/>
      <c r="AU37" s="1152"/>
      <c r="AV37" s="1153"/>
      <c r="AW37" s="1151"/>
      <c r="AX37" s="1152"/>
      <c r="AY37" s="1154"/>
      <c r="AZ37" s="1152"/>
      <c r="BA37" s="1152"/>
    </row>
    <row r="38" spans="1:54">
      <c r="A38" s="7"/>
      <c r="B38" s="563" t="s">
        <v>1014</v>
      </c>
      <c r="C38" s="896">
        <v>33.097173921277964</v>
      </c>
      <c r="D38" s="881">
        <v>1.55</v>
      </c>
      <c r="E38" s="881">
        <v>31.547173921277963</v>
      </c>
      <c r="F38" s="881">
        <v>1.9401791609025012</v>
      </c>
      <c r="G38" s="883"/>
      <c r="H38" s="882">
        <v>6.9618193420619159</v>
      </c>
      <c r="I38" s="881">
        <v>3.7662301358695611</v>
      </c>
      <c r="J38" s="884"/>
      <c r="K38" s="881">
        <v>3.1955892061923548</v>
      </c>
      <c r="L38" s="881" t="s">
        <v>452</v>
      </c>
      <c r="M38" s="479"/>
      <c r="N38" s="479"/>
      <c r="O38" s="882">
        <v>17.5</v>
      </c>
      <c r="P38" s="881">
        <v>0.8</v>
      </c>
      <c r="Q38" s="881">
        <v>16.7</v>
      </c>
      <c r="R38" s="881">
        <v>1.0251462340951576</v>
      </c>
      <c r="S38" s="883"/>
      <c r="T38" s="882">
        <v>3.6884761502743775</v>
      </c>
      <c r="U38" s="881">
        <v>2</v>
      </c>
      <c r="V38" s="884"/>
      <c r="W38" s="881">
        <v>1.6884761502743773</v>
      </c>
      <c r="X38" s="881" t="s">
        <v>452</v>
      </c>
      <c r="Z38" s="1147"/>
      <c r="AB38" s="1164"/>
      <c r="AC38" s="1148"/>
      <c r="AD38" s="1149"/>
      <c r="AE38" s="1163"/>
      <c r="AF38" s="1151"/>
      <c r="AG38" s="1152"/>
      <c r="AH38" s="1152"/>
      <c r="AI38" s="1152"/>
      <c r="AJ38" s="1153"/>
      <c r="AK38" s="1151"/>
      <c r="AL38" s="1152"/>
      <c r="AM38" s="1154"/>
      <c r="AN38" s="1152"/>
      <c r="AO38" s="1152"/>
      <c r="AP38" s="1155"/>
      <c r="AQ38" s="1155"/>
      <c r="AR38" s="1151"/>
      <c r="AS38" s="1152"/>
      <c r="AT38" s="1152"/>
      <c r="AU38" s="1152"/>
      <c r="AV38" s="1153"/>
      <c r="AW38" s="1151"/>
      <c r="AX38" s="1152"/>
      <c r="AY38" s="1154"/>
      <c r="AZ38" s="1152"/>
      <c r="BA38" s="1152"/>
    </row>
    <row r="39" spans="1:54">
      <c r="A39" s="7"/>
      <c r="B39" s="563" t="s">
        <v>39</v>
      </c>
      <c r="C39" s="896">
        <v>55.6</v>
      </c>
      <c r="D39" s="881">
        <v>4.5</v>
      </c>
      <c r="E39" s="881">
        <v>51.2</v>
      </c>
      <c r="F39" s="881" t="s">
        <v>452</v>
      </c>
      <c r="G39" s="883"/>
      <c r="H39" s="882">
        <v>11</v>
      </c>
      <c r="I39" s="881" t="s">
        <v>452</v>
      </c>
      <c r="J39" s="884"/>
      <c r="K39" s="881">
        <v>11</v>
      </c>
      <c r="L39" s="881" t="s">
        <v>452</v>
      </c>
      <c r="M39" s="479"/>
      <c r="N39" s="479"/>
      <c r="O39" s="882">
        <v>16</v>
      </c>
      <c r="P39" s="881">
        <v>1.3</v>
      </c>
      <c r="Q39" s="881">
        <v>14.7</v>
      </c>
      <c r="R39" s="881" t="s">
        <v>452</v>
      </c>
      <c r="S39" s="883"/>
      <c r="T39" s="882">
        <v>3.2</v>
      </c>
      <c r="U39" s="881" t="s">
        <v>452</v>
      </c>
      <c r="V39" s="884"/>
      <c r="W39" s="881">
        <v>3.2</v>
      </c>
      <c r="X39" s="881" t="s">
        <v>452</v>
      </c>
      <c r="Z39" s="1147"/>
      <c r="AC39" s="1148"/>
      <c r="AD39" s="1149"/>
      <c r="AE39" s="1163"/>
      <c r="AF39" s="1151"/>
      <c r="AG39" s="1152"/>
      <c r="AH39" s="1152"/>
      <c r="AI39" s="1152"/>
      <c r="AJ39" s="1153"/>
      <c r="AK39" s="1151"/>
      <c r="AL39" s="1152"/>
      <c r="AM39" s="1154"/>
      <c r="AN39" s="1152"/>
      <c r="AO39" s="1152"/>
      <c r="AP39" s="1155"/>
      <c r="AQ39" s="1155"/>
      <c r="AR39" s="1151"/>
      <c r="AS39" s="1152"/>
      <c r="AT39" s="1152"/>
      <c r="AU39" s="1152"/>
      <c r="AV39" s="1153"/>
      <c r="AW39" s="1151"/>
      <c r="AX39" s="1152"/>
      <c r="AY39" s="1154"/>
      <c r="AZ39" s="1152"/>
      <c r="BA39" s="1152"/>
    </row>
    <row r="40" spans="1:54" s="481" customFormat="1">
      <c r="A40" s="718"/>
      <c r="B40" s="563" t="s">
        <v>1015</v>
      </c>
      <c r="C40" s="896">
        <v>2.2042255736459442</v>
      </c>
      <c r="D40" s="881">
        <v>0.12491350018021706</v>
      </c>
      <c r="E40" s="881">
        <v>2.0793120734657271</v>
      </c>
      <c r="F40" s="881">
        <v>7.5320270858253366E-2</v>
      </c>
      <c r="G40" s="883"/>
      <c r="H40" s="882">
        <v>0.23482202091102522</v>
      </c>
      <c r="I40" s="881" t="s">
        <v>452</v>
      </c>
      <c r="J40" s="884"/>
      <c r="K40" s="881">
        <v>0.23482202091102522</v>
      </c>
      <c r="L40" s="881" t="s">
        <v>452</v>
      </c>
      <c r="M40" s="479"/>
      <c r="N40" s="479"/>
      <c r="O40" s="882">
        <v>10.149267331701516</v>
      </c>
      <c r="P40" s="881">
        <v>0.57515914969200288</v>
      </c>
      <c r="Q40" s="881">
        <v>9.574108182009514</v>
      </c>
      <c r="R40" s="881">
        <v>0.34680913495261462</v>
      </c>
      <c r="S40" s="883"/>
      <c r="T40" s="882">
        <v>1.0812284795581515</v>
      </c>
      <c r="U40" s="881" t="s">
        <v>452</v>
      </c>
      <c r="V40" s="884"/>
      <c r="W40" s="881">
        <v>1.0812284795581515</v>
      </c>
      <c r="X40" s="881" t="s">
        <v>452</v>
      </c>
      <c r="Z40" s="1147"/>
      <c r="AA40" s="1165"/>
      <c r="AB40" s="1165"/>
      <c r="AC40" s="1148"/>
      <c r="AD40" s="1149"/>
      <c r="AE40" s="1166"/>
      <c r="AF40" s="1167"/>
      <c r="AG40" s="1168"/>
      <c r="AH40" s="1168"/>
      <c r="AI40" s="1168"/>
      <c r="AJ40" s="1169"/>
      <c r="AK40" s="1167"/>
      <c r="AL40" s="1168"/>
      <c r="AM40" s="1170"/>
      <c r="AN40" s="1168"/>
      <c r="AO40" s="1168"/>
      <c r="AP40" s="1171"/>
      <c r="AQ40" s="1171"/>
      <c r="AR40" s="1167"/>
      <c r="AS40" s="1168"/>
      <c r="AT40" s="1168"/>
      <c r="AU40" s="1168"/>
      <c r="AV40" s="1169"/>
      <c r="AW40" s="1167"/>
      <c r="AX40" s="1168"/>
      <c r="AY40" s="1170"/>
      <c r="AZ40" s="1168"/>
      <c r="BA40" s="1168"/>
      <c r="BB40" s="1165"/>
    </row>
    <row r="41" spans="1:54">
      <c r="A41" s="7"/>
      <c r="B41" s="563" t="s">
        <v>1016</v>
      </c>
      <c r="C41" s="896">
        <v>49.143596863801008</v>
      </c>
      <c r="D41" s="881">
        <v>5.1357683670948564</v>
      </c>
      <c r="E41" s="881">
        <v>44.007828496706153</v>
      </c>
      <c r="F41" s="881">
        <v>3.309717392127796</v>
      </c>
      <c r="G41" s="883"/>
      <c r="H41" s="882">
        <v>11.412818593544126</v>
      </c>
      <c r="I41" s="881">
        <v>5.7064092967720628</v>
      </c>
      <c r="J41" s="884"/>
      <c r="K41" s="881">
        <v>5.7064092967720628</v>
      </c>
      <c r="L41" s="881" t="s">
        <v>452</v>
      </c>
      <c r="M41" s="479"/>
      <c r="N41" s="479"/>
      <c r="O41" s="882">
        <v>11.548291759304206</v>
      </c>
      <c r="P41" s="881">
        <v>1.2068581727094501</v>
      </c>
      <c r="Q41" s="881">
        <v>10.341433586594755</v>
      </c>
      <c r="R41" s="881">
        <v>0.77775304463497896</v>
      </c>
      <c r="S41" s="883"/>
      <c r="T41" s="882">
        <v>2.6819070504654445</v>
      </c>
      <c r="U41" s="881">
        <v>1.3409535252327223</v>
      </c>
      <c r="V41" s="884"/>
      <c r="W41" s="881">
        <v>1.3409535252327223</v>
      </c>
      <c r="X41" s="881" t="s">
        <v>452</v>
      </c>
      <c r="Z41" s="1147"/>
      <c r="AC41" s="1148"/>
      <c r="AD41" s="1149"/>
      <c r="AE41" s="1163"/>
      <c r="AF41" s="1151"/>
      <c r="AG41" s="1152"/>
      <c r="AH41" s="1152"/>
      <c r="AI41" s="1152"/>
      <c r="AJ41" s="1153"/>
      <c r="AK41" s="1151"/>
      <c r="AL41" s="1152"/>
      <c r="AM41" s="1154"/>
      <c r="AN41" s="1152"/>
      <c r="AO41" s="1152"/>
      <c r="AP41" s="1155"/>
      <c r="AQ41" s="1155"/>
      <c r="AR41" s="1151"/>
      <c r="AS41" s="1152"/>
      <c r="AT41" s="1152"/>
      <c r="AU41" s="1152"/>
      <c r="AV41" s="1153"/>
      <c r="AW41" s="1151"/>
      <c r="AX41" s="1152"/>
      <c r="AY41" s="1154"/>
      <c r="AZ41" s="1152"/>
      <c r="BA41" s="1152"/>
    </row>
    <row r="42" spans="1:54">
      <c r="A42" s="7"/>
      <c r="B42" s="7" t="s">
        <v>1017</v>
      </c>
      <c r="C42" s="896">
        <v>42.9</v>
      </c>
      <c r="D42" s="881">
        <v>9.4</v>
      </c>
      <c r="E42" s="881">
        <v>33.5</v>
      </c>
      <c r="F42" s="881">
        <v>2.1</v>
      </c>
      <c r="G42" s="883"/>
      <c r="H42" s="882">
        <v>15.3</v>
      </c>
      <c r="I42" s="881">
        <v>2</v>
      </c>
      <c r="J42" s="884"/>
      <c r="K42" s="881">
        <v>13.3</v>
      </c>
      <c r="L42" s="881" t="s">
        <v>452</v>
      </c>
      <c r="M42" s="479"/>
      <c r="N42" s="479"/>
      <c r="O42" s="882">
        <v>10.3</v>
      </c>
      <c r="P42" s="881">
        <v>2.2000000000000002</v>
      </c>
      <c r="Q42" s="881">
        <v>8.1000000000000014</v>
      </c>
      <c r="R42" s="881">
        <v>0.5</v>
      </c>
      <c r="S42" s="883"/>
      <c r="T42" s="882">
        <v>3.7</v>
      </c>
      <c r="U42" s="881">
        <v>0.5</v>
      </c>
      <c r="V42" s="884"/>
      <c r="W42" s="881">
        <v>3.2</v>
      </c>
      <c r="X42" s="881" t="s">
        <v>452</v>
      </c>
      <c r="Z42" s="1147"/>
      <c r="AC42" s="1148"/>
      <c r="AD42" s="1149"/>
      <c r="AE42" s="1163"/>
      <c r="AF42" s="1151"/>
      <c r="AG42" s="1152"/>
      <c r="AH42" s="1152"/>
      <c r="AI42" s="1152"/>
      <c r="AJ42" s="1153"/>
      <c r="AK42" s="1151"/>
      <c r="AL42" s="1152"/>
      <c r="AM42" s="1154"/>
      <c r="AN42" s="1152"/>
      <c r="AO42" s="1152"/>
      <c r="AP42" s="1155"/>
      <c r="AQ42" s="1155"/>
      <c r="AR42" s="1151"/>
      <c r="AS42" s="1152"/>
      <c r="AT42" s="1152"/>
      <c r="AU42" s="1152"/>
      <c r="AV42" s="1153"/>
      <c r="AW42" s="1151"/>
      <c r="AX42" s="1152"/>
      <c r="AY42" s="1154"/>
      <c r="AZ42" s="1152"/>
      <c r="BA42" s="1152"/>
    </row>
    <row r="43" spans="1:54">
      <c r="A43" s="563"/>
      <c r="B43" s="563" t="s">
        <v>1018</v>
      </c>
      <c r="C43" s="896">
        <v>3.5487068625075562</v>
      </c>
      <c r="D43" s="881">
        <v>0.67911263411214207</v>
      </c>
      <c r="E43" s="881">
        <v>2.8695942283954139</v>
      </c>
      <c r="F43" s="881" t="s">
        <v>452</v>
      </c>
      <c r="G43" s="883"/>
      <c r="H43" s="882">
        <v>0.66956733254859557</v>
      </c>
      <c r="I43" s="881">
        <v>0.26782693301943822</v>
      </c>
      <c r="J43" s="884"/>
      <c r="K43" s="881">
        <v>0.4017403995291573</v>
      </c>
      <c r="L43" s="881">
        <v>0</v>
      </c>
      <c r="M43" s="479"/>
      <c r="N43" s="479"/>
      <c r="O43" s="882">
        <v>10.6</v>
      </c>
      <c r="P43" s="881">
        <v>2.028511849666303</v>
      </c>
      <c r="Q43" s="881">
        <v>8.6</v>
      </c>
      <c r="R43" s="881">
        <v>0</v>
      </c>
      <c r="S43" s="883"/>
      <c r="T43" s="882">
        <v>2</v>
      </c>
      <c r="U43" s="881">
        <v>0.8</v>
      </c>
      <c r="V43" s="884"/>
      <c r="W43" s="881">
        <v>1.2</v>
      </c>
      <c r="X43" s="881">
        <v>0</v>
      </c>
      <c r="Z43" s="1147"/>
      <c r="AB43" s="1164"/>
      <c r="AC43" s="1148"/>
      <c r="AD43" s="1149"/>
      <c r="AE43" s="1157"/>
      <c r="AF43" s="1151"/>
      <c r="AG43" s="1152"/>
      <c r="AH43" s="1152"/>
      <c r="AI43" s="1152"/>
      <c r="AJ43" s="1153"/>
      <c r="AK43" s="1151"/>
      <c r="AL43" s="1152"/>
      <c r="AM43" s="1154"/>
      <c r="AN43" s="1152"/>
      <c r="AO43" s="1152"/>
      <c r="AP43" s="1155"/>
      <c r="AQ43" s="1155"/>
      <c r="AR43" s="1151"/>
      <c r="AS43" s="1152"/>
      <c r="AT43" s="1152"/>
      <c r="AU43" s="1152"/>
      <c r="AV43" s="1153"/>
      <c r="AW43" s="1151"/>
      <c r="AX43" s="1152"/>
      <c r="AY43" s="1154"/>
      <c r="AZ43" s="1152"/>
      <c r="BA43" s="1152"/>
    </row>
    <row r="44" spans="1:54">
      <c r="A44" s="7"/>
      <c r="B44" s="7" t="s">
        <v>1019</v>
      </c>
      <c r="C44" s="896">
        <v>4.4000000000000004</v>
      </c>
      <c r="D44" s="881">
        <v>1.1000000000000001</v>
      </c>
      <c r="E44" s="881">
        <v>3.3000000000000003</v>
      </c>
      <c r="F44" s="881">
        <v>1.6</v>
      </c>
      <c r="G44" s="883"/>
      <c r="H44" s="882">
        <v>1.5749689659090893</v>
      </c>
      <c r="I44" s="881">
        <v>0.43368710655467674</v>
      </c>
      <c r="J44" s="884"/>
      <c r="K44" s="881">
        <v>1.1412818593544125</v>
      </c>
      <c r="L44" s="881" t="s">
        <v>452</v>
      </c>
      <c r="M44" s="479"/>
      <c r="N44" s="479"/>
      <c r="O44" s="882">
        <v>7.9</v>
      </c>
      <c r="P44" s="881">
        <v>1.9572000000000001</v>
      </c>
      <c r="Q44" s="881">
        <v>5.9428000000000001</v>
      </c>
      <c r="R44" s="881">
        <v>2.8794</v>
      </c>
      <c r="S44" s="883"/>
      <c r="T44" s="882">
        <v>2.8203729023476543</v>
      </c>
      <c r="U44" s="881">
        <v>0.77662442238558593</v>
      </c>
      <c r="V44" s="884"/>
      <c r="W44" s="881">
        <v>2.0437484799620682</v>
      </c>
      <c r="X44" s="881" t="s">
        <v>452</v>
      </c>
      <c r="Z44" s="1147"/>
      <c r="AC44" s="1148"/>
      <c r="AD44" s="1149"/>
      <c r="AE44" s="1163"/>
      <c r="AF44" s="1151"/>
      <c r="AG44" s="1152"/>
      <c r="AH44" s="1152"/>
      <c r="AI44" s="1152"/>
      <c r="AJ44" s="1153"/>
      <c r="AK44" s="1151"/>
      <c r="AL44" s="1152"/>
      <c r="AM44" s="1154"/>
      <c r="AN44" s="1152"/>
      <c r="AO44" s="1152"/>
      <c r="AP44" s="1155"/>
      <c r="AQ44" s="1155"/>
      <c r="AR44" s="1151"/>
      <c r="AS44" s="1152"/>
      <c r="AT44" s="1152"/>
      <c r="AU44" s="1152"/>
      <c r="AV44" s="1153"/>
      <c r="AW44" s="1151"/>
      <c r="AX44" s="1152"/>
      <c r="AY44" s="1154"/>
      <c r="AZ44" s="1152"/>
      <c r="BA44" s="1152"/>
    </row>
    <row r="45" spans="1:54">
      <c r="A45" s="7"/>
      <c r="B45" s="563" t="s">
        <v>1020</v>
      </c>
      <c r="C45" s="896">
        <v>3.0814610202569139</v>
      </c>
      <c r="D45" s="881">
        <v>0.34238455780632376</v>
      </c>
      <c r="E45" s="881">
        <v>2.7390764624505901</v>
      </c>
      <c r="F45" s="881">
        <v>5.2384837344367536</v>
      </c>
      <c r="G45" s="883"/>
      <c r="H45" s="882">
        <v>4.3254582469532235</v>
      </c>
      <c r="I45" s="881">
        <v>0.45651274374176504</v>
      </c>
      <c r="J45" s="884"/>
      <c r="K45" s="881">
        <v>2.8532046483860314</v>
      </c>
      <c r="L45" s="881">
        <v>1.0157408548254272</v>
      </c>
      <c r="M45" s="479"/>
      <c r="N45" s="479"/>
      <c r="O45" s="882">
        <v>4.2093447453346426</v>
      </c>
      <c r="P45" s="881">
        <v>0.46770497170384917</v>
      </c>
      <c r="Q45" s="881">
        <v>3.7416397736307934</v>
      </c>
      <c r="R45" s="881">
        <v>7.1558860670688924</v>
      </c>
      <c r="S45" s="883"/>
      <c r="T45" s="882">
        <v>5.9086728091919616</v>
      </c>
      <c r="U45" s="881">
        <v>0.62360662893846563</v>
      </c>
      <c r="V45" s="884"/>
      <c r="W45" s="881">
        <v>3.8975414308654104</v>
      </c>
      <c r="X45" s="881">
        <v>1.387524749388086</v>
      </c>
      <c r="Z45" s="1147"/>
      <c r="AC45" s="1148"/>
      <c r="AD45" s="1149"/>
      <c r="AE45" s="1163"/>
      <c r="AF45" s="1151"/>
      <c r="AG45" s="1152"/>
      <c r="AH45" s="1152"/>
      <c r="AI45" s="1152"/>
      <c r="AJ45" s="1153"/>
      <c r="AK45" s="1151"/>
      <c r="AL45" s="1152"/>
      <c r="AM45" s="1154"/>
      <c r="AN45" s="1152"/>
      <c r="AO45" s="1152"/>
      <c r="AP45" s="1155"/>
      <c r="AQ45" s="1155"/>
      <c r="AR45" s="1151"/>
      <c r="AS45" s="1152"/>
      <c r="AT45" s="1152"/>
      <c r="AU45" s="1152"/>
      <c r="AV45" s="1153"/>
      <c r="AW45" s="1151"/>
      <c r="AX45" s="1152"/>
      <c r="AY45" s="1154"/>
      <c r="AZ45" s="1152"/>
      <c r="BA45" s="1152"/>
    </row>
    <row r="46" spans="1:54">
      <c r="A46" s="7"/>
      <c r="B46" s="563" t="s">
        <v>1021</v>
      </c>
      <c r="C46" s="896">
        <v>11.052610415145159</v>
      </c>
      <c r="D46" s="881">
        <v>0.10264032322105357</v>
      </c>
      <c r="E46" s="881">
        <v>10.949970091924106</v>
      </c>
      <c r="F46" s="881" t="s">
        <v>452</v>
      </c>
      <c r="G46" s="883"/>
      <c r="H46" s="882" t="s">
        <v>452</v>
      </c>
      <c r="I46" s="881" t="s">
        <v>452</v>
      </c>
      <c r="J46" s="884"/>
      <c r="K46" s="881" t="s">
        <v>452</v>
      </c>
      <c r="L46" s="881" t="s">
        <v>452</v>
      </c>
      <c r="M46" s="479"/>
      <c r="N46" s="479"/>
      <c r="O46" s="882">
        <v>45.422278006975382</v>
      </c>
      <c r="P46" s="881">
        <v>0.42181503924937497</v>
      </c>
      <c r="Q46" s="881">
        <v>45.000462967726008</v>
      </c>
      <c r="R46" s="881" t="s">
        <v>452</v>
      </c>
      <c r="S46" s="883"/>
      <c r="T46" s="882" t="s">
        <v>452</v>
      </c>
      <c r="U46" s="881" t="s">
        <v>452</v>
      </c>
      <c r="V46" s="884"/>
      <c r="W46" s="881" t="s">
        <v>452</v>
      </c>
      <c r="X46" s="881" t="s">
        <v>452</v>
      </c>
      <c r="Z46" s="1147"/>
      <c r="AC46" s="1148"/>
      <c r="AD46" s="1149"/>
      <c r="AE46" s="1163"/>
      <c r="AF46" s="1151"/>
      <c r="AG46" s="1152"/>
      <c r="AH46" s="1152"/>
      <c r="AI46" s="1152"/>
      <c r="AJ46" s="1153"/>
      <c r="AK46" s="1151"/>
      <c r="AL46" s="1152"/>
      <c r="AM46" s="1154"/>
      <c r="AN46" s="1152"/>
      <c r="AO46" s="1152"/>
      <c r="AP46" s="1155"/>
      <c r="AQ46" s="1155"/>
      <c r="AR46" s="1151"/>
      <c r="AS46" s="1152"/>
      <c r="AT46" s="1152"/>
      <c r="AU46" s="1152"/>
      <c r="AV46" s="1153"/>
      <c r="AW46" s="1151"/>
      <c r="AX46" s="1152"/>
      <c r="AY46" s="1154"/>
      <c r="AZ46" s="1152"/>
      <c r="BA46" s="1152"/>
    </row>
    <row r="47" spans="1:54" ht="13" customHeight="1">
      <c r="A47" s="7"/>
      <c r="B47" s="563" t="s">
        <v>1022</v>
      </c>
      <c r="C47" s="896">
        <v>1.8</v>
      </c>
      <c r="D47" s="881">
        <v>0.2</v>
      </c>
      <c r="E47" s="881">
        <v>1.6</v>
      </c>
      <c r="F47" s="881">
        <v>0.22825637187088252</v>
      </c>
      <c r="G47" s="883"/>
      <c r="H47" s="882">
        <v>0.89022342533885679</v>
      </c>
      <c r="I47" s="881" t="s">
        <v>452</v>
      </c>
      <c r="J47" s="884"/>
      <c r="K47" s="881">
        <v>0.89022342533885679</v>
      </c>
      <c r="L47" s="881" t="s">
        <v>452</v>
      </c>
      <c r="M47" s="479"/>
      <c r="N47" s="479"/>
      <c r="O47" s="882">
        <v>10.7</v>
      </c>
      <c r="P47" s="881">
        <v>1</v>
      </c>
      <c r="Q47" s="881">
        <v>9.6999999999999993</v>
      </c>
      <c r="R47" s="881">
        <v>1.5319886507216778</v>
      </c>
      <c r="S47" s="883"/>
      <c r="T47" s="882">
        <v>6</v>
      </c>
      <c r="U47" s="881" t="s">
        <v>452</v>
      </c>
      <c r="V47" s="884"/>
      <c r="W47" s="881">
        <v>6</v>
      </c>
      <c r="X47" s="881" t="s">
        <v>452</v>
      </c>
      <c r="Z47" s="1147"/>
      <c r="AC47" s="1148"/>
      <c r="AD47" s="1149"/>
      <c r="AE47" s="1163"/>
      <c r="AF47" s="1151"/>
      <c r="AG47" s="1152"/>
      <c r="AH47" s="1152"/>
      <c r="AI47" s="1152"/>
      <c r="AJ47" s="1153"/>
      <c r="AK47" s="1151"/>
      <c r="AL47" s="1152"/>
      <c r="AM47" s="1154"/>
      <c r="AN47" s="1152"/>
      <c r="AO47" s="1152"/>
      <c r="AP47" s="1155"/>
      <c r="AQ47" s="1155"/>
      <c r="AR47" s="1151"/>
      <c r="AS47" s="1152"/>
      <c r="AT47" s="1152"/>
      <c r="AU47" s="1152"/>
      <c r="AV47" s="1153"/>
      <c r="AW47" s="1151"/>
      <c r="AX47" s="1152"/>
      <c r="AY47" s="1154"/>
      <c r="AZ47" s="1152"/>
      <c r="BA47" s="1152"/>
    </row>
    <row r="48" spans="1:54">
      <c r="A48" s="7"/>
      <c r="B48" s="563" t="s">
        <v>184</v>
      </c>
      <c r="C48" s="896">
        <v>93.92749702486816</v>
      </c>
      <c r="D48" s="881">
        <v>18.94527886528325</v>
      </c>
      <c r="E48" s="881">
        <v>74.982218159584903</v>
      </c>
      <c r="F48" s="881">
        <v>13.124741382575744</v>
      </c>
      <c r="G48" s="883"/>
      <c r="H48" s="882">
        <v>39.716608705533552</v>
      </c>
      <c r="I48" s="881" t="s">
        <v>452</v>
      </c>
      <c r="J48" s="884"/>
      <c r="K48" s="881">
        <v>39.716608705533552</v>
      </c>
      <c r="L48" s="881" t="s">
        <v>452</v>
      </c>
      <c r="M48" s="479"/>
      <c r="N48" s="479"/>
      <c r="O48" s="882">
        <v>10.2862785044276</v>
      </c>
      <c r="P48" s="881">
        <v>2.0747536230072678</v>
      </c>
      <c r="Q48" s="881">
        <v>8.2115248814203312</v>
      </c>
      <c r="R48" s="881">
        <v>1.4373293171435892</v>
      </c>
      <c r="S48" s="883"/>
      <c r="T48" s="882">
        <v>4.3494834988345135</v>
      </c>
      <c r="U48" s="881" t="s">
        <v>452</v>
      </c>
      <c r="V48" s="884"/>
      <c r="W48" s="881">
        <v>4.3494834988345135</v>
      </c>
      <c r="X48" s="881" t="s">
        <v>452</v>
      </c>
      <c r="Z48" s="1147"/>
      <c r="AC48" s="1148"/>
      <c r="AD48" s="1149"/>
      <c r="AE48" s="1163"/>
      <c r="AF48" s="1151"/>
      <c r="AG48" s="1152"/>
      <c r="AH48" s="1152"/>
      <c r="AI48" s="1152"/>
      <c r="AJ48" s="1153"/>
      <c r="AK48" s="1151"/>
      <c r="AL48" s="1152"/>
      <c r="AM48" s="1154"/>
      <c r="AN48" s="1152"/>
      <c r="AO48" s="1152"/>
      <c r="AP48" s="1155"/>
      <c r="AQ48" s="1155"/>
      <c r="AR48" s="1151"/>
      <c r="AS48" s="1152"/>
      <c r="AT48" s="1152"/>
      <c r="AU48" s="1152"/>
      <c r="AV48" s="1153"/>
      <c r="AW48" s="1151"/>
      <c r="AX48" s="1152"/>
      <c r="AY48" s="1154"/>
      <c r="AZ48" s="1152"/>
      <c r="BA48" s="1152"/>
    </row>
    <row r="49" spans="1:53">
      <c r="A49" s="7"/>
      <c r="B49" s="563" t="s">
        <v>553</v>
      </c>
      <c r="C49" s="896">
        <v>40.366333649903929</v>
      </c>
      <c r="D49" s="881">
        <v>3.3151095268037039</v>
      </c>
      <c r="E49" s="881">
        <v>37.051224123100226</v>
      </c>
      <c r="F49" s="881" t="s">
        <v>452</v>
      </c>
      <c r="G49" s="883"/>
      <c r="H49" s="882">
        <v>4.0951352978163404</v>
      </c>
      <c r="I49" s="881">
        <v>2.2100730178691359</v>
      </c>
      <c r="J49" s="884"/>
      <c r="K49" s="881">
        <v>1.8850622799472043</v>
      </c>
      <c r="L49" s="881" t="s">
        <v>452</v>
      </c>
      <c r="M49" s="479"/>
      <c r="N49" s="479"/>
      <c r="O49" s="882">
        <v>19.27864943902545</v>
      </c>
      <c r="P49" s="881">
        <v>1.5832707268764863</v>
      </c>
      <c r="Q49" s="881">
        <v>17.695378712148965</v>
      </c>
      <c r="R49" s="881" t="s">
        <v>452</v>
      </c>
      <c r="S49" s="883"/>
      <c r="T49" s="882">
        <v>1.9558050155533067</v>
      </c>
      <c r="U49" s="881">
        <v>1.0555138179176575</v>
      </c>
      <c r="V49" s="884"/>
      <c r="W49" s="881">
        <v>0.90029119763564913</v>
      </c>
      <c r="X49" s="881" t="s">
        <v>452</v>
      </c>
      <c r="Z49" s="1147"/>
      <c r="AC49" s="1148"/>
      <c r="AD49" s="1149"/>
      <c r="AE49" s="1163"/>
      <c r="AF49" s="1151"/>
      <c r="AG49" s="1152"/>
      <c r="AH49" s="1152"/>
      <c r="AI49" s="1152"/>
      <c r="AJ49" s="1153"/>
      <c r="AK49" s="1151"/>
      <c r="AL49" s="1152"/>
      <c r="AM49" s="1154"/>
      <c r="AN49" s="1152"/>
      <c r="AO49" s="1152"/>
      <c r="AP49" s="1155"/>
      <c r="AQ49" s="1155"/>
      <c r="AR49" s="1151"/>
      <c r="AS49" s="1152"/>
      <c r="AT49" s="1152"/>
      <c r="AU49" s="1152"/>
      <c r="AV49" s="1153"/>
      <c r="AW49" s="1151"/>
      <c r="AX49" s="1152"/>
      <c r="AY49" s="1154"/>
      <c r="AZ49" s="1152"/>
      <c r="BA49" s="1152"/>
    </row>
    <row r="50" spans="1:53">
      <c r="A50" s="7"/>
      <c r="B50" s="563" t="s">
        <v>36</v>
      </c>
      <c r="C50" s="896">
        <v>23.917160810691193</v>
      </c>
      <c r="D50" s="881">
        <v>2.6232409947782966</v>
      </c>
      <c r="E50" s="881">
        <v>21.293919815912897</v>
      </c>
      <c r="F50" s="881" t="s">
        <v>452</v>
      </c>
      <c r="G50" s="883"/>
      <c r="H50" s="882">
        <v>14.603062217895378</v>
      </c>
      <c r="I50" s="881">
        <v>6.3191432870165452</v>
      </c>
      <c r="J50" s="884"/>
      <c r="K50" s="881">
        <v>8.2839189308788317</v>
      </c>
      <c r="L50" s="881" t="s">
        <v>452</v>
      </c>
      <c r="M50" s="479"/>
      <c r="N50" s="479"/>
      <c r="O50" s="882">
        <v>7.4022943167997886</v>
      </c>
      <c r="P50" s="881">
        <v>0.81188574433816507</v>
      </c>
      <c r="Q50" s="881">
        <v>6.5904085724616239</v>
      </c>
      <c r="R50" s="881" t="s">
        <v>452</v>
      </c>
      <c r="S50" s="883"/>
      <c r="T50" s="882">
        <v>4.5196068763764252</v>
      </c>
      <c r="U50" s="881">
        <v>1.9557571574137986</v>
      </c>
      <c r="V50" s="884"/>
      <c r="W50" s="881">
        <v>2.563849718962627</v>
      </c>
      <c r="X50" s="881" t="s">
        <v>452</v>
      </c>
      <c r="Z50" s="1147"/>
      <c r="AB50" s="1172"/>
      <c r="AC50" s="1148"/>
      <c r="AD50" s="1149"/>
      <c r="AE50" s="1163"/>
      <c r="AF50" s="1151"/>
      <c r="AG50" s="1152"/>
      <c r="AH50" s="1152"/>
      <c r="AI50" s="1152"/>
      <c r="AJ50" s="1153"/>
      <c r="AK50" s="1151"/>
      <c r="AL50" s="1152"/>
      <c r="AM50" s="1154"/>
      <c r="AN50" s="1152"/>
      <c r="AO50" s="1152"/>
      <c r="AP50" s="1155"/>
      <c r="AQ50" s="1155"/>
      <c r="AR50" s="1151"/>
      <c r="AS50" s="1152"/>
      <c r="AT50" s="1152"/>
      <c r="AU50" s="1152"/>
      <c r="AV50" s="1153"/>
      <c r="AW50" s="1151"/>
      <c r="AX50" s="1152"/>
      <c r="AY50" s="1154"/>
      <c r="AZ50" s="1152"/>
      <c r="BA50" s="1152"/>
    </row>
    <row r="51" spans="1:53">
      <c r="A51" s="7"/>
      <c r="B51" s="563" t="s">
        <v>1023</v>
      </c>
      <c r="C51" s="896">
        <v>13.809510498188393</v>
      </c>
      <c r="D51" s="881">
        <v>2.5108200905797076</v>
      </c>
      <c r="E51" s="881">
        <v>11.298690407608685</v>
      </c>
      <c r="F51" s="881">
        <v>1.2554100452898538</v>
      </c>
      <c r="G51" s="883"/>
      <c r="H51" s="882">
        <v>13.124741382575744</v>
      </c>
      <c r="I51" s="881" t="s">
        <v>452</v>
      </c>
      <c r="J51" s="884"/>
      <c r="K51" s="881">
        <v>13.124741382575744</v>
      </c>
      <c r="L51" s="881" t="s">
        <v>452</v>
      </c>
      <c r="M51" s="479"/>
      <c r="N51" s="479"/>
      <c r="O51" s="882">
        <v>6.047351260148055</v>
      </c>
      <c r="P51" s="881">
        <v>1.0995184109360101</v>
      </c>
      <c r="Q51" s="881">
        <v>4.9478328492120447</v>
      </c>
      <c r="R51" s="881">
        <v>0.54975920546800505</v>
      </c>
      <c r="S51" s="883"/>
      <c r="T51" s="882">
        <v>5.7474826026200523</v>
      </c>
      <c r="U51" s="881" t="s">
        <v>452</v>
      </c>
      <c r="V51" s="884"/>
      <c r="W51" s="881">
        <v>5.7474826026200523</v>
      </c>
      <c r="X51" s="881" t="s">
        <v>452</v>
      </c>
      <c r="Z51" s="1147"/>
      <c r="AB51" s="1173"/>
      <c r="AC51" s="1148"/>
      <c r="AD51" s="1149"/>
      <c r="AE51" s="1163"/>
      <c r="AF51" s="1151"/>
      <c r="AG51" s="1152"/>
      <c r="AH51" s="1152"/>
      <c r="AI51" s="1152"/>
      <c r="AJ51" s="1153"/>
      <c r="AK51" s="1151"/>
      <c r="AL51" s="1152"/>
      <c r="AM51" s="1154"/>
      <c r="AN51" s="1152"/>
      <c r="AO51" s="1152"/>
      <c r="AP51" s="1155"/>
      <c r="AQ51" s="1155"/>
      <c r="AR51" s="1151"/>
      <c r="AS51" s="1152"/>
      <c r="AT51" s="1152"/>
      <c r="AU51" s="1152"/>
      <c r="AV51" s="1153"/>
      <c r="AW51" s="1151"/>
      <c r="AX51" s="1152"/>
      <c r="AY51" s="1154"/>
      <c r="AZ51" s="1152"/>
      <c r="BA51" s="1152"/>
    </row>
    <row r="52" spans="1:53" hidden="1">
      <c r="A52" s="7"/>
      <c r="B52" s="563" t="s">
        <v>1024</v>
      </c>
      <c r="C52" s="896">
        <v>1.1412818593544125E-2</v>
      </c>
      <c r="D52" s="881" t="s">
        <v>452</v>
      </c>
      <c r="E52" s="881" t="s">
        <v>452</v>
      </c>
      <c r="F52" s="881" t="s">
        <v>452</v>
      </c>
      <c r="G52" s="883"/>
      <c r="H52" s="882" t="s">
        <v>452</v>
      </c>
      <c r="I52" s="881" t="s">
        <v>452</v>
      </c>
      <c r="J52" s="884"/>
      <c r="K52" s="881" t="s">
        <v>452</v>
      </c>
      <c r="L52" s="881" t="s">
        <v>452</v>
      </c>
      <c r="M52" s="479"/>
      <c r="N52" s="479"/>
      <c r="O52" s="882">
        <v>0.73446874930825812</v>
      </c>
      <c r="P52" s="881" t="s">
        <v>452</v>
      </c>
      <c r="Q52" s="881" t="s">
        <v>452</v>
      </c>
      <c r="R52" s="881" t="s">
        <v>452</v>
      </c>
      <c r="S52" s="883"/>
      <c r="T52" s="882" t="s">
        <v>452</v>
      </c>
      <c r="U52" s="881" t="s">
        <v>452</v>
      </c>
      <c r="V52" s="884"/>
      <c r="W52" s="881" t="s">
        <v>452</v>
      </c>
      <c r="X52" s="881" t="s">
        <v>452</v>
      </c>
      <c r="Z52" s="1147"/>
      <c r="AC52" s="1148"/>
      <c r="AD52" s="1149"/>
      <c r="AE52" s="1163"/>
      <c r="AF52" s="1151"/>
      <c r="AG52" s="1152"/>
      <c r="AH52" s="1152"/>
      <c r="AI52" s="1152"/>
      <c r="AJ52" s="1153"/>
      <c r="AK52" s="1151"/>
      <c r="AL52" s="1152"/>
      <c r="AM52" s="1154"/>
      <c r="AN52" s="1152"/>
      <c r="AO52" s="1152"/>
      <c r="AP52" s="1155"/>
      <c r="AQ52" s="1155"/>
      <c r="AR52" s="1151"/>
      <c r="AS52" s="1152"/>
      <c r="AT52" s="1152"/>
      <c r="AU52" s="1152"/>
      <c r="AV52" s="1153"/>
      <c r="AW52" s="1151"/>
      <c r="AX52" s="1152"/>
      <c r="AY52" s="1154"/>
      <c r="AZ52" s="1152"/>
      <c r="BA52" s="1152"/>
    </row>
    <row r="53" spans="1:53">
      <c r="A53" s="7"/>
      <c r="B53" s="563" t="s">
        <v>31</v>
      </c>
      <c r="C53" s="896">
        <v>62.546527888588585</v>
      </c>
      <c r="D53" s="881">
        <v>13.480479938907852</v>
      </c>
      <c r="E53" s="881">
        <v>49.06604794968073</v>
      </c>
      <c r="F53" s="881" t="s">
        <v>452</v>
      </c>
      <c r="G53" s="883"/>
      <c r="H53" s="882">
        <v>15.94465369118133</v>
      </c>
      <c r="I53" s="881">
        <v>15.94465369118133</v>
      </c>
      <c r="J53" s="884"/>
      <c r="K53" s="881" t="s">
        <v>452</v>
      </c>
      <c r="L53" s="881" t="s">
        <v>452</v>
      </c>
      <c r="M53" s="479"/>
      <c r="N53" s="479"/>
      <c r="O53" s="882">
        <v>18.39709108521307</v>
      </c>
      <c r="P53" s="881">
        <v>3.9650740925256436</v>
      </c>
      <c r="Q53" s="881">
        <v>14.432016992687425</v>
      </c>
      <c r="R53" s="881" t="s">
        <v>452</v>
      </c>
      <c r="S53" s="883"/>
      <c r="T53" s="882">
        <v>4.6898725825572125</v>
      </c>
      <c r="U53" s="881">
        <v>4.6898725825572125</v>
      </c>
      <c r="V53" s="884"/>
      <c r="W53" s="881" t="s">
        <v>452</v>
      </c>
      <c r="X53" s="881" t="s">
        <v>452</v>
      </c>
      <c r="Z53" s="1147"/>
      <c r="AC53" s="1148"/>
      <c r="AD53" s="1149"/>
      <c r="AE53" s="1163"/>
      <c r="AF53" s="1151"/>
      <c r="AG53" s="1152"/>
      <c r="AH53" s="1152"/>
      <c r="AI53" s="1152"/>
      <c r="AJ53" s="1153"/>
      <c r="AK53" s="1151"/>
      <c r="AL53" s="1152"/>
      <c r="AM53" s="1154"/>
      <c r="AN53" s="1152"/>
      <c r="AO53" s="1152"/>
      <c r="AP53" s="1155"/>
      <c r="AQ53" s="1155"/>
      <c r="AR53" s="1151"/>
      <c r="AS53" s="1152"/>
      <c r="AT53" s="1152"/>
      <c r="AU53" s="1152"/>
      <c r="AV53" s="1153"/>
      <c r="AW53" s="1151"/>
      <c r="AX53" s="1152"/>
      <c r="AY53" s="1154"/>
      <c r="AZ53" s="1152"/>
      <c r="BA53" s="1152"/>
    </row>
    <row r="54" spans="1:53">
      <c r="A54" s="7"/>
      <c r="B54" s="7" t="s">
        <v>1025</v>
      </c>
      <c r="C54" s="896">
        <v>6.3</v>
      </c>
      <c r="D54" s="881">
        <v>1.3</v>
      </c>
      <c r="E54" s="881">
        <v>5</v>
      </c>
      <c r="F54" s="881">
        <v>0.6006120601465349</v>
      </c>
      <c r="G54" s="883"/>
      <c r="H54" s="882">
        <v>1.8</v>
      </c>
      <c r="I54" s="881">
        <v>0</v>
      </c>
      <c r="J54" s="884"/>
      <c r="K54" s="881">
        <v>1.8</v>
      </c>
      <c r="L54" s="881" t="s">
        <v>452</v>
      </c>
      <c r="M54" s="479"/>
      <c r="N54" s="479"/>
      <c r="O54" s="882">
        <v>5.9</v>
      </c>
      <c r="P54" s="881">
        <v>1.2</v>
      </c>
      <c r="Q54" s="881">
        <v>4.7</v>
      </c>
      <c r="R54" s="881">
        <v>0.57700693861006003</v>
      </c>
      <c r="S54" s="883"/>
      <c r="T54" s="882">
        <v>1.7</v>
      </c>
      <c r="U54" s="881">
        <v>0</v>
      </c>
      <c r="V54" s="884"/>
      <c r="W54" s="881">
        <v>1.7</v>
      </c>
      <c r="X54" s="881" t="s">
        <v>452</v>
      </c>
      <c r="Z54" s="1147"/>
      <c r="AC54" s="1148"/>
      <c r="AD54" s="1149"/>
      <c r="AE54" s="1163"/>
      <c r="AF54" s="1151"/>
      <c r="AG54" s="1152"/>
      <c r="AH54" s="1152"/>
      <c r="AI54" s="1152"/>
      <c r="AJ54" s="1153"/>
      <c r="AK54" s="1151"/>
      <c r="AL54" s="1152"/>
      <c r="AM54" s="1154"/>
      <c r="AN54" s="1152"/>
      <c r="AO54" s="1152"/>
      <c r="AP54" s="1155"/>
      <c r="AQ54" s="1155"/>
      <c r="AR54" s="1151"/>
      <c r="AS54" s="1152"/>
      <c r="AT54" s="1152"/>
      <c r="AU54" s="1152"/>
      <c r="AV54" s="1153"/>
      <c r="AW54" s="1151"/>
      <c r="AX54" s="1152"/>
      <c r="AY54" s="1154"/>
      <c r="AZ54" s="1152"/>
      <c r="BA54" s="1152"/>
    </row>
    <row r="55" spans="1:53">
      <c r="A55" s="7"/>
      <c r="B55" s="7" t="s">
        <v>1026</v>
      </c>
      <c r="C55" s="896">
        <v>5.2</v>
      </c>
      <c r="D55" s="881">
        <v>0.4</v>
      </c>
      <c r="E55" s="881">
        <v>4.8</v>
      </c>
      <c r="F55" s="881">
        <v>0.47399999999999998</v>
      </c>
      <c r="G55" s="883"/>
      <c r="H55" s="882">
        <v>3.5</v>
      </c>
      <c r="I55" s="881">
        <v>1</v>
      </c>
      <c r="J55" s="884"/>
      <c r="K55" s="881">
        <v>2.5</v>
      </c>
      <c r="L55" s="881" t="s">
        <v>452</v>
      </c>
      <c r="M55" s="479"/>
      <c r="N55" s="479"/>
      <c r="O55" s="882">
        <v>9.4</v>
      </c>
      <c r="P55" s="881">
        <v>0.8</v>
      </c>
      <c r="Q55" s="881">
        <v>8.6</v>
      </c>
      <c r="R55" s="881">
        <v>0.9</v>
      </c>
      <c r="S55" s="883"/>
      <c r="T55" s="882">
        <v>6.6</v>
      </c>
      <c r="U55" s="881">
        <v>1.9</v>
      </c>
      <c r="V55" s="884"/>
      <c r="W55" s="881">
        <v>4.7</v>
      </c>
      <c r="X55" s="881" t="s">
        <v>452</v>
      </c>
      <c r="Z55" s="1147"/>
      <c r="AC55" s="1148"/>
      <c r="AD55" s="1149"/>
      <c r="AE55" s="1163"/>
      <c r="AF55" s="1151"/>
      <c r="AG55" s="1152"/>
      <c r="AH55" s="1152"/>
      <c r="AI55" s="1152"/>
      <c r="AJ55" s="1153"/>
      <c r="AK55" s="1151"/>
      <c r="AL55" s="1152"/>
      <c r="AM55" s="1154"/>
      <c r="AN55" s="1152"/>
      <c r="AO55" s="1152"/>
      <c r="AP55" s="1155"/>
      <c r="AQ55" s="1155"/>
      <c r="AR55" s="1151"/>
      <c r="AS55" s="1152"/>
      <c r="AT55" s="1152"/>
      <c r="AU55" s="1152"/>
      <c r="AV55" s="1153"/>
      <c r="AW55" s="1151"/>
      <c r="AX55" s="1152"/>
      <c r="AY55" s="1154"/>
      <c r="AZ55" s="1152"/>
      <c r="BA55" s="1152"/>
    </row>
    <row r="56" spans="1:53">
      <c r="A56" s="7"/>
      <c r="B56" s="7" t="s">
        <v>21</v>
      </c>
      <c r="C56" s="896">
        <v>22.474815922163589</v>
      </c>
      <c r="D56" s="881">
        <v>4.125811618561432</v>
      </c>
      <c r="E56" s="881">
        <v>18.349004303602158</v>
      </c>
      <c r="F56" s="881">
        <v>36.372286637317892</v>
      </c>
      <c r="G56" s="883"/>
      <c r="H56" s="882">
        <v>28.413813173092809</v>
      </c>
      <c r="I56" s="881">
        <v>1.2703156825570725</v>
      </c>
      <c r="J56" s="884"/>
      <c r="K56" s="881">
        <v>27.143497490535736</v>
      </c>
      <c r="L56" s="881" t="s">
        <v>452</v>
      </c>
      <c r="M56" s="479"/>
      <c r="N56" s="479"/>
      <c r="O56" s="882">
        <v>4.1538214254109116</v>
      </c>
      <c r="P56" s="881">
        <v>0.76253726650055398</v>
      </c>
      <c r="Q56" s="881">
        <v>3.3912841589103584</v>
      </c>
      <c r="R56" s="881">
        <v>6.7223680073075149</v>
      </c>
      <c r="S56" s="883"/>
      <c r="T56" s="882">
        <v>5.2514737537682885</v>
      </c>
      <c r="U56" s="881">
        <v>0.2347812110014863</v>
      </c>
      <c r="V56" s="884"/>
      <c r="W56" s="881">
        <v>5.0166925427668021</v>
      </c>
      <c r="X56" s="881" t="s">
        <v>452</v>
      </c>
      <c r="Z56" s="1147"/>
      <c r="AC56" s="1148"/>
      <c r="AD56" s="1149"/>
      <c r="AE56" s="1163"/>
      <c r="AF56" s="1151"/>
      <c r="AG56" s="1152"/>
      <c r="AH56" s="1152"/>
      <c r="AI56" s="1152"/>
      <c r="AJ56" s="1153"/>
      <c r="AK56" s="1151"/>
      <c r="AL56" s="1152"/>
      <c r="AM56" s="1154"/>
      <c r="AN56" s="1152"/>
      <c r="AO56" s="1152"/>
      <c r="AP56" s="1155"/>
      <c r="AQ56" s="1155"/>
      <c r="AR56" s="1151"/>
      <c r="AS56" s="1152"/>
      <c r="AT56" s="1152"/>
      <c r="AU56" s="1152"/>
      <c r="AV56" s="1153"/>
      <c r="AW56" s="1151"/>
      <c r="AX56" s="1152"/>
      <c r="AY56" s="1154"/>
      <c r="AZ56" s="1152"/>
      <c r="BA56" s="1152"/>
    </row>
    <row r="57" spans="1:53">
      <c r="A57" s="7"/>
      <c r="B57" s="7" t="s">
        <v>558</v>
      </c>
      <c r="C57" s="896">
        <v>59.481808256628398</v>
      </c>
      <c r="D57" s="881">
        <v>7.6892624776985965</v>
      </c>
      <c r="E57" s="881">
        <v>51.792545778929799</v>
      </c>
      <c r="F57" s="881" t="s">
        <v>452</v>
      </c>
      <c r="G57" s="883"/>
      <c r="H57" s="882">
        <v>46.733119713121745</v>
      </c>
      <c r="I57" s="881">
        <v>1.1716565626081807</v>
      </c>
      <c r="J57" s="884"/>
      <c r="K57" s="881">
        <v>45.561463150513568</v>
      </c>
      <c r="L57" s="881" t="s">
        <v>452</v>
      </c>
      <c r="M57" s="479"/>
      <c r="N57" s="479"/>
      <c r="O57" s="882">
        <v>7.9111095244692748</v>
      </c>
      <c r="P57" s="881">
        <v>1.0226756617925596</v>
      </c>
      <c r="Q57" s="881">
        <v>6.8884338626767159</v>
      </c>
      <c r="R57" s="881" t="s">
        <v>452</v>
      </c>
      <c r="S57" s="883"/>
      <c r="T57" s="882">
        <v>6.2155277269910725</v>
      </c>
      <c r="U57" s="881">
        <v>0.15583089457983315</v>
      </c>
      <c r="V57" s="884"/>
      <c r="W57" s="881">
        <v>6.0596968324112392</v>
      </c>
      <c r="X57" s="881" t="s">
        <v>452</v>
      </c>
      <c r="Z57" s="1147"/>
      <c r="AC57" s="1148"/>
      <c r="AD57" s="1149"/>
      <c r="AE57" s="1163"/>
      <c r="AF57" s="1151"/>
      <c r="AG57" s="1152"/>
      <c r="AH57" s="1152"/>
      <c r="AI57" s="1152"/>
      <c r="AJ57" s="1153"/>
      <c r="AK57" s="1151"/>
      <c r="AL57" s="1152"/>
      <c r="AM57" s="1154"/>
      <c r="AN57" s="1152"/>
      <c r="AO57" s="1152"/>
      <c r="AP57" s="1155"/>
      <c r="AQ57" s="1155"/>
      <c r="AR57" s="1151"/>
      <c r="AS57" s="1152"/>
      <c r="AT57" s="1152"/>
      <c r="AU57" s="1152"/>
      <c r="AV57" s="1153"/>
      <c r="AW57" s="1151"/>
      <c r="AX57" s="1152"/>
      <c r="AY57" s="1154"/>
      <c r="AZ57" s="1152"/>
      <c r="BA57" s="1152"/>
    </row>
    <row r="58" spans="1:53">
      <c r="A58" s="352"/>
      <c r="C58" s="479"/>
      <c r="D58" s="479"/>
      <c r="E58" s="479"/>
      <c r="F58" s="479"/>
      <c r="G58" s="479"/>
      <c r="H58" s="479"/>
      <c r="I58" s="479"/>
      <c r="J58" s="479"/>
      <c r="K58" s="479"/>
      <c r="L58" s="479"/>
      <c r="M58" s="479"/>
      <c r="N58" s="479"/>
      <c r="O58" s="479"/>
      <c r="P58" s="479"/>
      <c r="Q58" s="479"/>
      <c r="R58" s="479"/>
      <c r="S58" s="479"/>
      <c r="T58" s="479"/>
      <c r="U58" s="479"/>
      <c r="V58" s="479"/>
      <c r="W58" s="479"/>
      <c r="X58" s="479"/>
      <c r="Z58" s="1147"/>
      <c r="AC58" s="1148"/>
      <c r="AD58" s="1149"/>
      <c r="AF58" s="1151"/>
      <c r="AG58" s="1152"/>
      <c r="AH58" s="1152"/>
      <c r="AI58" s="1152"/>
      <c r="AJ58" s="1153"/>
      <c r="AK58" s="1151"/>
      <c r="AL58" s="1152"/>
      <c r="AM58" s="1154"/>
      <c r="AN58" s="1152"/>
      <c r="AO58" s="1152"/>
      <c r="AP58" s="1155"/>
      <c r="AQ58" s="1155"/>
      <c r="AR58" s="1151"/>
      <c r="AS58" s="1152"/>
      <c r="AT58" s="1152"/>
      <c r="AU58" s="1152"/>
      <c r="AV58" s="1153"/>
      <c r="AW58" s="1151"/>
      <c r="AX58" s="1152"/>
      <c r="AY58" s="1154"/>
      <c r="AZ58" s="1152"/>
      <c r="BA58" s="1152"/>
    </row>
    <row r="59" spans="1:53">
      <c r="A59" s="838"/>
      <c r="B59" s="838" t="s">
        <v>870</v>
      </c>
      <c r="C59" s="895"/>
      <c r="D59" s="883"/>
      <c r="E59" s="883"/>
      <c r="F59" s="881"/>
      <c r="G59" s="883"/>
      <c r="H59" s="895"/>
      <c r="I59" s="884" t="s">
        <v>452</v>
      </c>
      <c r="J59" s="884"/>
      <c r="K59" s="884" t="s">
        <v>452</v>
      </c>
      <c r="L59" s="884" t="s">
        <v>452</v>
      </c>
      <c r="M59" s="479"/>
      <c r="N59" s="479"/>
      <c r="O59" s="587" t="s">
        <v>452</v>
      </c>
      <c r="P59" s="564" t="s">
        <v>452</v>
      </c>
      <c r="Q59" s="564" t="s">
        <v>452</v>
      </c>
      <c r="R59" s="564" t="s">
        <v>452</v>
      </c>
      <c r="S59" s="564"/>
      <c r="T59" s="587" t="s">
        <v>452</v>
      </c>
      <c r="U59" s="564" t="s">
        <v>452</v>
      </c>
      <c r="V59" s="564"/>
      <c r="W59" s="564" t="s">
        <v>452</v>
      </c>
      <c r="X59" s="564" t="s">
        <v>452</v>
      </c>
      <c r="Z59" s="1147"/>
      <c r="AC59" s="1148"/>
      <c r="AD59" s="1149"/>
      <c r="AF59" s="1151"/>
      <c r="AG59" s="1152"/>
      <c r="AH59" s="1152"/>
      <c r="AI59" s="1152"/>
      <c r="AJ59" s="1153"/>
      <c r="AK59" s="1151"/>
      <c r="AL59" s="1152"/>
      <c r="AM59" s="1154"/>
      <c r="AN59" s="1152"/>
      <c r="AO59" s="1152"/>
      <c r="AP59" s="1155"/>
      <c r="AQ59" s="1155"/>
      <c r="AR59" s="1151"/>
      <c r="AS59" s="1152"/>
      <c r="AT59" s="1152"/>
      <c r="AU59" s="1152"/>
      <c r="AV59" s="1153"/>
      <c r="AW59" s="1151"/>
      <c r="AX59" s="1152"/>
      <c r="AY59" s="1154"/>
      <c r="AZ59" s="1152"/>
      <c r="BA59" s="1152"/>
    </row>
    <row r="60" spans="1:53">
      <c r="A60" s="764"/>
      <c r="B60" s="764" t="s">
        <v>41</v>
      </c>
      <c r="C60" s="896">
        <v>0.33382004491368428</v>
      </c>
      <c r="D60" s="881">
        <v>0.16783217727704566</v>
      </c>
      <c r="E60" s="881">
        <v>0.16598786763663859</v>
      </c>
      <c r="F60" s="881" t="s">
        <v>452</v>
      </c>
      <c r="G60" s="883"/>
      <c r="H60" s="882">
        <v>0.23976025325292241</v>
      </c>
      <c r="I60" s="881" t="s">
        <v>452</v>
      </c>
      <c r="J60" s="884"/>
      <c r="K60" s="881">
        <v>0.23976025325292241</v>
      </c>
      <c r="L60" s="881" t="s">
        <v>452</v>
      </c>
      <c r="M60" s="479"/>
      <c r="N60" s="479"/>
      <c r="O60" s="882">
        <v>2.2512745821149296</v>
      </c>
      <c r="P60" s="881">
        <v>1.1318562816157931</v>
      </c>
      <c r="Q60" s="881">
        <v>1.119418300499136</v>
      </c>
      <c r="R60" s="881" t="s">
        <v>452</v>
      </c>
      <c r="S60" s="883"/>
      <c r="T60" s="882">
        <v>1.6169375451654189</v>
      </c>
      <c r="U60" s="881" t="s">
        <v>452</v>
      </c>
      <c r="V60" s="884"/>
      <c r="W60" s="881">
        <v>1.6169375451654189</v>
      </c>
      <c r="X60" s="881" t="s">
        <v>452</v>
      </c>
      <c r="Z60" s="1147"/>
      <c r="AC60" s="1148"/>
      <c r="AD60" s="1149"/>
      <c r="AF60" s="1151"/>
      <c r="AG60" s="1152"/>
      <c r="AH60" s="1152"/>
      <c r="AI60" s="1152"/>
      <c r="AJ60" s="1153"/>
      <c r="AK60" s="1151"/>
      <c r="AL60" s="1152"/>
      <c r="AM60" s="1154"/>
      <c r="AN60" s="1152"/>
      <c r="AO60" s="1152"/>
      <c r="AP60" s="1155"/>
      <c r="AQ60" s="1155"/>
      <c r="AR60" s="1151"/>
      <c r="AS60" s="1152"/>
      <c r="AT60" s="1152"/>
      <c r="AU60" s="1152"/>
      <c r="AV60" s="1153"/>
      <c r="AW60" s="1151"/>
      <c r="AX60" s="1152"/>
      <c r="AY60" s="1154"/>
      <c r="AZ60" s="1152"/>
      <c r="BA60" s="1152"/>
    </row>
    <row r="61" spans="1:53" ht="13.5">
      <c r="A61" s="764"/>
      <c r="B61" s="764" t="s">
        <v>1565</v>
      </c>
      <c r="C61" s="896">
        <v>1.7800000000000002</v>
      </c>
      <c r="D61" s="881">
        <v>0.91243697478991603</v>
      </c>
      <c r="E61" s="881">
        <v>0.8675630252100841</v>
      </c>
      <c r="F61" s="881" t="s">
        <v>452</v>
      </c>
      <c r="G61" s="883"/>
      <c r="H61" s="882" t="s">
        <v>452</v>
      </c>
      <c r="I61" s="881" t="s">
        <v>452</v>
      </c>
      <c r="J61" s="884"/>
      <c r="K61" s="881" t="s">
        <v>452</v>
      </c>
      <c r="L61" s="881" t="s">
        <v>452</v>
      </c>
      <c r="M61" s="479"/>
      <c r="N61" s="479"/>
      <c r="O61" s="882">
        <v>1.3018269335958867</v>
      </c>
      <c r="P61" s="881">
        <v>0.66732304999453018</v>
      </c>
      <c r="Q61" s="881">
        <v>0.63450388360135657</v>
      </c>
      <c r="R61" s="881" t="s">
        <v>452</v>
      </c>
      <c r="S61" s="883"/>
      <c r="T61" s="882" t="s">
        <v>452</v>
      </c>
      <c r="U61" s="881" t="s">
        <v>452</v>
      </c>
      <c r="V61" s="884"/>
      <c r="W61" s="881" t="s">
        <v>452</v>
      </c>
      <c r="X61" s="881" t="s">
        <v>452</v>
      </c>
      <c r="Z61" s="1147"/>
      <c r="AC61" s="1148"/>
      <c r="AD61" s="1149"/>
      <c r="AF61" s="1151"/>
      <c r="AG61" s="1152"/>
      <c r="AH61" s="1152"/>
      <c r="AI61" s="1152"/>
      <c r="AJ61" s="1153"/>
      <c r="AK61" s="1151"/>
      <c r="AL61" s="1152"/>
      <c r="AM61" s="1154"/>
      <c r="AN61" s="1152"/>
      <c r="AO61" s="1152"/>
      <c r="AP61" s="1155"/>
      <c r="AQ61" s="1155"/>
      <c r="AR61" s="1151"/>
      <c r="AS61" s="1152"/>
      <c r="AT61" s="1152"/>
      <c r="AU61" s="1152"/>
      <c r="AV61" s="1153"/>
      <c r="AW61" s="1151"/>
      <c r="AX61" s="1152"/>
      <c r="AY61" s="1154"/>
      <c r="AZ61" s="1152"/>
      <c r="BA61" s="1152"/>
    </row>
    <row r="62" spans="1:53">
      <c r="A62" s="764"/>
      <c r="B62" s="764" t="s">
        <v>1028</v>
      </c>
      <c r="C62" s="896">
        <v>0.30270184555643093</v>
      </c>
      <c r="D62" s="881" t="s">
        <v>452</v>
      </c>
      <c r="E62" s="881" t="s">
        <v>452</v>
      </c>
      <c r="F62" s="881" t="s">
        <v>452</v>
      </c>
      <c r="G62" s="883"/>
      <c r="H62" s="882" t="s">
        <v>452</v>
      </c>
      <c r="I62" s="881" t="s">
        <v>452</v>
      </c>
      <c r="J62" s="884"/>
      <c r="K62" s="881" t="s">
        <v>452</v>
      </c>
      <c r="L62" s="881" t="s">
        <v>452</v>
      </c>
      <c r="M62" s="479"/>
      <c r="N62" s="479"/>
      <c r="O62" s="882">
        <v>0.51853837302572692</v>
      </c>
      <c r="P62" s="881" t="s">
        <v>452</v>
      </c>
      <c r="Q62" s="881" t="s">
        <v>452</v>
      </c>
      <c r="R62" s="881" t="s">
        <v>452</v>
      </c>
      <c r="S62" s="883"/>
      <c r="T62" s="882" t="s">
        <v>452</v>
      </c>
      <c r="U62" s="881" t="s">
        <v>452</v>
      </c>
      <c r="V62" s="884"/>
      <c r="W62" s="881" t="s">
        <v>452</v>
      </c>
      <c r="X62" s="881" t="s">
        <v>452</v>
      </c>
      <c r="Z62" s="1147"/>
      <c r="AC62" s="1148"/>
      <c r="AD62" s="1149"/>
      <c r="AF62" s="1151"/>
      <c r="AG62" s="1152"/>
      <c r="AH62" s="1152"/>
      <c r="AI62" s="1152"/>
      <c r="AJ62" s="1153"/>
      <c r="AK62" s="1151"/>
      <c r="AL62" s="1152"/>
      <c r="AM62" s="1154"/>
      <c r="AN62" s="1152"/>
      <c r="AO62" s="1152"/>
      <c r="AP62" s="1155"/>
      <c r="AQ62" s="1155"/>
      <c r="AR62" s="1151"/>
      <c r="AS62" s="1152"/>
      <c r="AT62" s="1152"/>
      <c r="AU62" s="1152"/>
      <c r="AV62" s="1153"/>
      <c r="AW62" s="1151"/>
      <c r="AX62" s="1152"/>
      <c r="AY62" s="1154"/>
      <c r="AZ62" s="1152"/>
      <c r="BA62" s="1152"/>
    </row>
    <row r="63" spans="1:53" hidden="1">
      <c r="A63" s="764"/>
      <c r="B63" s="764" t="s">
        <v>1029</v>
      </c>
      <c r="C63" s="896" t="s">
        <v>452</v>
      </c>
      <c r="D63" s="881" t="s">
        <v>452</v>
      </c>
      <c r="E63" s="881" t="s">
        <v>452</v>
      </c>
      <c r="F63" s="881" t="s">
        <v>452</v>
      </c>
      <c r="G63" s="883"/>
      <c r="H63" s="882" t="s">
        <v>452</v>
      </c>
      <c r="I63" s="881" t="s">
        <v>452</v>
      </c>
      <c r="J63" s="884"/>
      <c r="K63" s="881" t="s">
        <v>452</v>
      </c>
      <c r="L63" s="881" t="s">
        <v>452</v>
      </c>
      <c r="M63" s="479"/>
      <c r="N63" s="479"/>
      <c r="O63" s="882" t="s">
        <v>452</v>
      </c>
      <c r="P63" s="881" t="s">
        <v>452</v>
      </c>
      <c r="Q63" s="881" t="s">
        <v>452</v>
      </c>
      <c r="R63" s="881" t="s">
        <v>452</v>
      </c>
      <c r="S63" s="883"/>
      <c r="T63" s="882" t="s">
        <v>452</v>
      </c>
      <c r="U63" s="881" t="s">
        <v>452</v>
      </c>
      <c r="V63" s="884"/>
      <c r="W63" s="881" t="s">
        <v>452</v>
      </c>
      <c r="X63" s="881" t="s">
        <v>452</v>
      </c>
      <c r="Z63" s="1147"/>
      <c r="AC63" s="1148"/>
      <c r="AD63" s="1149"/>
      <c r="AF63" s="1151"/>
      <c r="AG63" s="1152"/>
      <c r="AH63" s="1152"/>
      <c r="AI63" s="1152"/>
      <c r="AJ63" s="1153"/>
      <c r="AK63" s="1151"/>
      <c r="AL63" s="1152"/>
      <c r="AM63" s="1154"/>
      <c r="AN63" s="1152"/>
      <c r="AO63" s="1152"/>
      <c r="AP63" s="1155"/>
      <c r="AQ63" s="1155"/>
      <c r="AR63" s="1151"/>
      <c r="AS63" s="1152"/>
      <c r="AT63" s="1152"/>
      <c r="AU63" s="1152"/>
      <c r="AV63" s="1153"/>
      <c r="AW63" s="1151"/>
      <c r="AX63" s="1152"/>
      <c r="AY63" s="1154"/>
      <c r="AZ63" s="1152"/>
      <c r="BA63" s="1152"/>
    </row>
    <row r="64" spans="1:53">
      <c r="A64" s="764"/>
      <c r="B64" s="764" t="s">
        <v>1030</v>
      </c>
      <c r="C64" s="896">
        <v>7.7777777777777765E-2</v>
      </c>
      <c r="D64" s="881">
        <v>3.7037037037037034E-3</v>
      </c>
      <c r="E64" s="881">
        <v>7.4074074074074056E-2</v>
      </c>
      <c r="F64" s="881" t="s">
        <v>452</v>
      </c>
      <c r="G64" s="883"/>
      <c r="H64" s="882" t="s">
        <v>452</v>
      </c>
      <c r="I64" s="881">
        <v>0</v>
      </c>
      <c r="J64" s="884"/>
      <c r="K64" s="881" t="s">
        <v>452</v>
      </c>
      <c r="L64" s="881" t="s">
        <v>452</v>
      </c>
      <c r="M64" s="479"/>
      <c r="N64" s="479"/>
      <c r="O64" s="882">
        <v>5.676803049266729</v>
      </c>
      <c r="P64" s="881">
        <v>0.27032395472698711</v>
      </c>
      <c r="Q64" s="881">
        <v>5.4064790945397423</v>
      </c>
      <c r="R64" s="881" t="s">
        <v>452</v>
      </c>
      <c r="S64" s="883"/>
      <c r="T64" s="882" t="s">
        <v>452</v>
      </c>
      <c r="U64" s="881">
        <v>0</v>
      </c>
      <c r="V64" s="884"/>
      <c r="W64" s="881" t="s">
        <v>452</v>
      </c>
      <c r="X64" s="881" t="s">
        <v>452</v>
      </c>
      <c r="Z64" s="1147"/>
      <c r="AC64" s="1148"/>
      <c r="AD64" s="1149"/>
      <c r="AF64" s="1151"/>
      <c r="AG64" s="1152"/>
      <c r="AH64" s="1152"/>
      <c r="AI64" s="1152"/>
      <c r="AJ64" s="1153"/>
      <c r="AK64" s="1151"/>
      <c r="AL64" s="1152"/>
      <c r="AM64" s="1154"/>
      <c r="AN64" s="1152"/>
      <c r="AO64" s="1152"/>
      <c r="AP64" s="1155"/>
      <c r="AQ64" s="1155"/>
      <c r="AR64" s="1151"/>
      <c r="AS64" s="1152"/>
      <c r="AT64" s="1152"/>
      <c r="AU64" s="1152"/>
      <c r="AV64" s="1153"/>
      <c r="AW64" s="1151"/>
      <c r="AX64" s="1152"/>
      <c r="AY64" s="1154"/>
      <c r="AZ64" s="1152"/>
      <c r="BA64" s="1152"/>
    </row>
    <row r="65" spans="1:53">
      <c r="A65" s="764"/>
      <c r="B65" s="562" t="s">
        <v>1031</v>
      </c>
      <c r="C65" s="896">
        <v>0.17147845103623999</v>
      </c>
      <c r="D65" s="881">
        <v>6.50660545848806E-2</v>
      </c>
      <c r="E65" s="881">
        <v>0.10641239645135939</v>
      </c>
      <c r="F65" s="881">
        <v>0.13292192740086201</v>
      </c>
      <c r="G65" s="883"/>
      <c r="H65" s="882">
        <v>3.1199999999999999E-2</v>
      </c>
      <c r="I65" s="881">
        <v>3.1199999999999999E-2</v>
      </c>
      <c r="J65" s="884"/>
      <c r="K65" s="881">
        <v>0</v>
      </c>
      <c r="L65" s="881" t="s">
        <v>452</v>
      </c>
      <c r="M65" s="479"/>
      <c r="N65" s="479"/>
      <c r="O65" s="882">
        <v>1.3560968844305261</v>
      </c>
      <c r="P65" s="881">
        <v>0.51455954594607045</v>
      </c>
      <c r="Q65" s="881">
        <v>0.84153733848445567</v>
      </c>
      <c r="R65" s="881">
        <v>1.0514967967929543</v>
      </c>
      <c r="S65" s="883"/>
      <c r="T65" s="882">
        <v>0.24673784104389088</v>
      </c>
      <c r="U65" s="881">
        <v>0.24673784104389088</v>
      </c>
      <c r="V65" s="884"/>
      <c r="W65" s="881">
        <v>0</v>
      </c>
      <c r="X65" s="881" t="s">
        <v>452</v>
      </c>
      <c r="Z65" s="1147"/>
      <c r="AC65" s="1148"/>
      <c r="AD65" s="1149"/>
      <c r="AF65" s="1151"/>
      <c r="AG65" s="1152"/>
      <c r="AH65" s="1152"/>
      <c r="AI65" s="1152"/>
      <c r="AJ65" s="1153"/>
      <c r="AK65" s="1151"/>
      <c r="AL65" s="1152"/>
      <c r="AM65" s="1154"/>
      <c r="AN65" s="1152"/>
      <c r="AO65" s="1152"/>
      <c r="AP65" s="1155"/>
      <c r="AQ65" s="1155"/>
      <c r="AR65" s="1151"/>
      <c r="AS65" s="1152"/>
      <c r="AT65" s="1152"/>
      <c r="AU65" s="1152"/>
      <c r="AV65" s="1153"/>
      <c r="AW65" s="1151"/>
      <c r="AX65" s="1152"/>
      <c r="AY65" s="1154"/>
      <c r="AZ65" s="1152"/>
      <c r="BA65" s="1152"/>
    </row>
    <row r="66" spans="1:53">
      <c r="A66" s="764"/>
      <c r="B66" s="764" t="s">
        <v>1032</v>
      </c>
      <c r="C66" s="896">
        <v>0.22905027932960892</v>
      </c>
      <c r="D66" s="881">
        <v>8.9385474860335198E-2</v>
      </c>
      <c r="E66" s="881">
        <v>0.13966480446927373</v>
      </c>
      <c r="F66" s="881" t="s">
        <v>452</v>
      </c>
      <c r="G66" s="883"/>
      <c r="H66" s="882" t="s">
        <v>452</v>
      </c>
      <c r="I66" s="881" t="s">
        <v>452</v>
      </c>
      <c r="J66" s="884"/>
      <c r="K66" s="881" t="s">
        <v>452</v>
      </c>
      <c r="L66" s="881" t="s">
        <v>452</v>
      </c>
      <c r="M66" s="479"/>
      <c r="N66" s="479"/>
      <c r="O66" s="882">
        <v>9.1737862852004071</v>
      </c>
      <c r="P66" s="881">
        <v>3.5800141600782078</v>
      </c>
      <c r="Q66" s="881">
        <v>5.5937721251221992</v>
      </c>
      <c r="R66" s="881" t="s">
        <v>452</v>
      </c>
      <c r="S66" s="883"/>
      <c r="T66" s="882" t="s">
        <v>452</v>
      </c>
      <c r="U66" s="881" t="s">
        <v>452</v>
      </c>
      <c r="V66" s="884"/>
      <c r="W66" s="881" t="s">
        <v>452</v>
      </c>
      <c r="X66" s="881" t="s">
        <v>452</v>
      </c>
      <c r="Z66" s="1147"/>
      <c r="AC66" s="1148"/>
      <c r="AD66" s="1149"/>
      <c r="AF66" s="1151"/>
      <c r="AG66" s="1152"/>
      <c r="AH66" s="1152"/>
      <c r="AI66" s="1152"/>
      <c r="AJ66" s="1153"/>
      <c r="AK66" s="1151"/>
      <c r="AL66" s="1152"/>
      <c r="AM66" s="1154"/>
      <c r="AN66" s="1152"/>
      <c r="AO66" s="1152"/>
      <c r="AP66" s="1155"/>
      <c r="AQ66" s="1155"/>
      <c r="AR66" s="1151"/>
      <c r="AS66" s="1152"/>
      <c r="AT66" s="1152"/>
      <c r="AU66" s="1152"/>
      <c r="AV66" s="1153"/>
      <c r="AW66" s="1151"/>
      <c r="AX66" s="1152"/>
      <c r="AY66" s="1154"/>
      <c r="AZ66" s="1152"/>
      <c r="BA66" s="1152"/>
    </row>
    <row r="67" spans="1:53">
      <c r="A67" s="764"/>
      <c r="B67" s="764" t="s">
        <v>1033</v>
      </c>
      <c r="C67" s="896">
        <v>1.0470588235294118</v>
      </c>
      <c r="D67" s="881">
        <v>0.37058823529411766</v>
      </c>
      <c r="E67" s="881">
        <v>0.67647058823529416</v>
      </c>
      <c r="F67" s="881" t="s">
        <v>452</v>
      </c>
      <c r="G67" s="883"/>
      <c r="H67" s="882">
        <v>1.1462611764705881</v>
      </c>
      <c r="I67" s="881">
        <v>0.85214352941176463</v>
      </c>
      <c r="J67" s="884"/>
      <c r="K67" s="881">
        <v>0.29411764705882354</v>
      </c>
      <c r="L67" s="881" t="s">
        <v>452</v>
      </c>
      <c r="M67" s="479"/>
      <c r="N67" s="479"/>
      <c r="O67" s="882">
        <v>2.4574705724801955</v>
      </c>
      <c r="P67" s="881">
        <v>0.86977891048456346</v>
      </c>
      <c r="Q67" s="881">
        <v>1.5876916619956321</v>
      </c>
      <c r="R67" s="881" t="s">
        <v>452</v>
      </c>
      <c r="S67" s="883"/>
      <c r="T67" s="882">
        <v>2.6903007226067963</v>
      </c>
      <c r="U67" s="881">
        <v>2</v>
      </c>
      <c r="V67" s="884"/>
      <c r="W67" s="881">
        <v>0.69030072260679642</v>
      </c>
      <c r="X67" s="881" t="s">
        <v>452</v>
      </c>
      <c r="Z67" s="1147"/>
      <c r="AC67" s="1148"/>
      <c r="AD67" s="1149"/>
      <c r="AF67" s="1151"/>
      <c r="AG67" s="1152"/>
      <c r="AH67" s="1152"/>
      <c r="AI67" s="1152"/>
      <c r="AJ67" s="1153"/>
      <c r="AK67" s="1151"/>
      <c r="AL67" s="1152"/>
      <c r="AM67" s="1154"/>
      <c r="AN67" s="1152"/>
      <c r="AO67" s="1152"/>
      <c r="AP67" s="1155"/>
      <c r="AQ67" s="1155"/>
      <c r="AR67" s="1151"/>
      <c r="AS67" s="1152"/>
      <c r="AT67" s="1152"/>
      <c r="AU67" s="1152"/>
      <c r="AV67" s="1153"/>
      <c r="AW67" s="1151"/>
      <c r="AX67" s="1152"/>
      <c r="AY67" s="1154"/>
      <c r="AZ67" s="1152"/>
      <c r="BA67" s="1152"/>
    </row>
    <row r="68" spans="1:53">
      <c r="A68" s="764"/>
      <c r="B68" s="764" t="s">
        <v>1034</v>
      </c>
      <c r="C68" s="896">
        <v>0.35</v>
      </c>
      <c r="D68" s="881">
        <v>0.02</v>
      </c>
      <c r="E68" s="881">
        <v>0.32999999999999996</v>
      </c>
      <c r="F68" s="881">
        <v>7.0000000000000007E-2</v>
      </c>
      <c r="G68" s="883"/>
      <c r="H68" s="882">
        <v>0.02</v>
      </c>
      <c r="I68" s="881">
        <v>0.02</v>
      </c>
      <c r="J68" s="884"/>
      <c r="K68" s="881" t="s">
        <v>452</v>
      </c>
      <c r="L68" s="881" t="s">
        <v>452</v>
      </c>
      <c r="M68" s="479"/>
      <c r="N68" s="479"/>
      <c r="O68" s="882">
        <v>3.5326772646984606</v>
      </c>
      <c r="P68" s="881">
        <v>0.20186727226848347</v>
      </c>
      <c r="Q68" s="881">
        <v>3.3308099924299772</v>
      </c>
      <c r="R68" s="881">
        <v>0.70653545293969211</v>
      </c>
      <c r="S68" s="883"/>
      <c r="T68" s="882">
        <v>0.20186727226848347</v>
      </c>
      <c r="U68" s="881">
        <v>0.20186727226848347</v>
      </c>
      <c r="V68" s="884"/>
      <c r="W68" s="881" t="s">
        <v>452</v>
      </c>
      <c r="X68" s="881" t="s">
        <v>452</v>
      </c>
      <c r="Z68" s="1147"/>
      <c r="AC68" s="1148"/>
      <c r="AD68" s="1149"/>
      <c r="AF68" s="1151"/>
      <c r="AG68" s="1152"/>
      <c r="AH68" s="1152"/>
      <c r="AI68" s="1152"/>
      <c r="AJ68" s="1153"/>
      <c r="AK68" s="1151"/>
      <c r="AL68" s="1152"/>
      <c r="AM68" s="1154"/>
      <c r="AN68" s="1152"/>
      <c r="AO68" s="1152"/>
      <c r="AP68" s="1155"/>
      <c r="AQ68" s="1155"/>
      <c r="AR68" s="1151"/>
      <c r="AS68" s="1152"/>
      <c r="AT68" s="1152"/>
      <c r="AU68" s="1152"/>
      <c r="AV68" s="1153"/>
      <c r="AW68" s="1151"/>
      <c r="AX68" s="1152"/>
      <c r="AY68" s="1154"/>
      <c r="AZ68" s="1152"/>
      <c r="BA68" s="1152"/>
    </row>
    <row r="69" spans="1:53">
      <c r="A69" s="764"/>
      <c r="B69" s="764" t="s">
        <v>26</v>
      </c>
      <c r="C69" s="896">
        <v>0.95744680851063824</v>
      </c>
      <c r="D69" s="881">
        <v>0.50531914893617025</v>
      </c>
      <c r="E69" s="881">
        <v>0.45212765957446804</v>
      </c>
      <c r="F69" s="881">
        <v>0</v>
      </c>
      <c r="G69" s="883"/>
      <c r="H69" s="882">
        <v>0.93085106382978722</v>
      </c>
      <c r="I69" s="881">
        <v>0.66489361702127658</v>
      </c>
      <c r="J69" s="884"/>
      <c r="K69" s="881">
        <v>0.26595744680851063</v>
      </c>
      <c r="L69" s="881">
        <v>0</v>
      </c>
      <c r="M69" s="479"/>
      <c r="N69" s="479"/>
      <c r="O69" s="882">
        <v>2.756890503201439</v>
      </c>
      <c r="P69" s="881">
        <v>1.4550255433563151</v>
      </c>
      <c r="Q69" s="881">
        <v>1.3018649598451237</v>
      </c>
      <c r="R69" s="881">
        <v>0</v>
      </c>
      <c r="S69" s="883"/>
      <c r="T69" s="882">
        <v>2.6803102114458435</v>
      </c>
      <c r="U69" s="881">
        <v>1.9145072938898882</v>
      </c>
      <c r="V69" s="884"/>
      <c r="W69" s="881">
        <v>0.76580291755595531</v>
      </c>
      <c r="X69" s="881">
        <v>0</v>
      </c>
      <c r="Z69" s="1147"/>
      <c r="AC69" s="1148"/>
      <c r="AD69" s="1149"/>
      <c r="AF69" s="1151"/>
      <c r="AG69" s="1152"/>
      <c r="AH69" s="1152"/>
      <c r="AI69" s="1152"/>
      <c r="AJ69" s="1153"/>
      <c r="AK69" s="1151"/>
      <c r="AL69" s="1152"/>
      <c r="AM69" s="1154"/>
      <c r="AN69" s="1152"/>
      <c r="AO69" s="1152"/>
      <c r="AP69" s="1155"/>
      <c r="AQ69" s="1155"/>
      <c r="AR69" s="1151"/>
      <c r="AS69" s="1152"/>
      <c r="AT69" s="1152"/>
      <c r="AU69" s="1152"/>
      <c r="AV69" s="1153"/>
      <c r="AW69" s="1151"/>
      <c r="AX69" s="1152"/>
      <c r="AY69" s="1154"/>
      <c r="AZ69" s="1152"/>
      <c r="BA69" s="1152"/>
    </row>
    <row r="70" spans="1:53">
      <c r="A70" s="764"/>
      <c r="B70" s="764" t="s">
        <v>1035</v>
      </c>
      <c r="C70" s="896">
        <v>0.22</v>
      </c>
      <c r="D70" s="881">
        <v>0.06</v>
      </c>
      <c r="E70" s="881">
        <v>0.16</v>
      </c>
      <c r="F70" s="881">
        <v>6.5000000000000002E-2</v>
      </c>
      <c r="G70" s="883"/>
      <c r="H70" s="882">
        <v>0.245</v>
      </c>
      <c r="I70" s="881">
        <v>0.14499999999999999</v>
      </c>
      <c r="J70" s="884"/>
      <c r="K70" s="881">
        <v>0.1</v>
      </c>
      <c r="L70" s="881" t="s">
        <v>452</v>
      </c>
      <c r="M70" s="479"/>
      <c r="N70" s="479"/>
      <c r="O70" s="882">
        <v>4.9794261280620837</v>
      </c>
      <c r="P70" s="881">
        <v>1.3580253076532953</v>
      </c>
      <c r="Q70" s="881">
        <v>3.6214008204087884</v>
      </c>
      <c r="R70" s="881">
        <v>1.4711940832910702</v>
      </c>
      <c r="S70" s="883"/>
      <c r="T70" s="882">
        <v>5.5452700062509566</v>
      </c>
      <c r="U70" s="881">
        <v>3.2818944934954639</v>
      </c>
      <c r="V70" s="884"/>
      <c r="W70" s="881">
        <v>2.2633755127554926</v>
      </c>
      <c r="X70" s="881" t="s">
        <v>452</v>
      </c>
      <c r="Z70" s="1147"/>
      <c r="AC70" s="1148"/>
      <c r="AD70" s="1149"/>
      <c r="AF70" s="1151"/>
      <c r="AG70" s="1152"/>
      <c r="AH70" s="1152"/>
      <c r="AI70" s="1152"/>
      <c r="AJ70" s="1153"/>
      <c r="AK70" s="1151"/>
      <c r="AL70" s="1152"/>
      <c r="AM70" s="1154"/>
      <c r="AN70" s="1152"/>
      <c r="AO70" s="1152"/>
      <c r="AP70" s="1155"/>
      <c r="AQ70" s="1155"/>
      <c r="AR70" s="1151"/>
      <c r="AS70" s="1152"/>
      <c r="AT70" s="1152"/>
      <c r="AU70" s="1152"/>
      <c r="AV70" s="1153"/>
      <c r="AW70" s="1151"/>
      <c r="AX70" s="1152"/>
      <c r="AY70" s="1154"/>
      <c r="AZ70" s="1152"/>
      <c r="BA70" s="1152"/>
    </row>
    <row r="71" spans="1:53">
      <c r="A71" s="764"/>
      <c r="B71" s="764" t="s">
        <v>1036</v>
      </c>
      <c r="C71" s="896">
        <v>0.4</v>
      </c>
      <c r="D71" s="881">
        <v>0.3</v>
      </c>
      <c r="E71" s="881">
        <v>0.10000000000000003</v>
      </c>
      <c r="F71" s="881" t="s">
        <v>452</v>
      </c>
      <c r="G71" s="883"/>
      <c r="H71" s="882">
        <v>0.5</v>
      </c>
      <c r="I71" s="881" t="s">
        <v>452</v>
      </c>
      <c r="J71" s="884"/>
      <c r="K71" s="881">
        <v>0.5</v>
      </c>
      <c r="L71" s="881" t="s">
        <v>452</v>
      </c>
      <c r="M71" s="479"/>
      <c r="N71" s="479"/>
      <c r="O71" s="882">
        <v>0.6</v>
      </c>
      <c r="P71" s="881">
        <v>0.6</v>
      </c>
      <c r="Q71" s="881">
        <v>0</v>
      </c>
      <c r="R71" s="881" t="s">
        <v>452</v>
      </c>
      <c r="S71" s="883"/>
      <c r="T71" s="882">
        <v>0.8</v>
      </c>
      <c r="U71" s="881" t="s">
        <v>452</v>
      </c>
      <c r="V71" s="884"/>
      <c r="W71" s="881">
        <v>0.8</v>
      </c>
      <c r="X71" s="881" t="s">
        <v>452</v>
      </c>
      <c r="Z71" s="1147"/>
      <c r="AC71" s="1148"/>
      <c r="AD71" s="1149"/>
      <c r="AF71" s="1151"/>
      <c r="AG71" s="1152"/>
      <c r="AH71" s="1152"/>
      <c r="AI71" s="1152"/>
      <c r="AJ71" s="1153"/>
      <c r="AK71" s="1151"/>
      <c r="AL71" s="1152"/>
      <c r="AM71" s="1154"/>
      <c r="AN71" s="1152"/>
      <c r="AO71" s="1152"/>
      <c r="AP71" s="1155"/>
      <c r="AQ71" s="1155"/>
      <c r="AR71" s="1151"/>
      <c r="AS71" s="1152"/>
      <c r="AT71" s="1152"/>
      <c r="AU71" s="1152"/>
      <c r="AV71" s="1153"/>
      <c r="AW71" s="1151"/>
      <c r="AX71" s="1152"/>
      <c r="AY71" s="1154"/>
      <c r="AZ71" s="1152"/>
      <c r="BA71" s="1152"/>
    </row>
    <row r="72" spans="1:53">
      <c r="A72" s="764"/>
      <c r="B72" s="764" t="s">
        <v>1037</v>
      </c>
      <c r="C72" s="896">
        <v>0.01</v>
      </c>
      <c r="D72" s="881" t="s">
        <v>452</v>
      </c>
      <c r="E72" s="881" t="s">
        <v>452</v>
      </c>
      <c r="F72" s="881" t="s">
        <v>452</v>
      </c>
      <c r="G72" s="883"/>
      <c r="H72" s="882">
        <v>5.5E-2</v>
      </c>
      <c r="I72" s="881">
        <v>5.5E-2</v>
      </c>
      <c r="J72" s="884"/>
      <c r="K72" s="881" t="s">
        <v>452</v>
      </c>
      <c r="L72" s="881" t="s">
        <v>452</v>
      </c>
      <c r="M72" s="479"/>
      <c r="N72" s="479"/>
      <c r="O72" s="882">
        <v>0.58606651574407997</v>
      </c>
      <c r="P72" s="881" t="s">
        <v>452</v>
      </c>
      <c r="Q72" s="881" t="s">
        <v>452</v>
      </c>
      <c r="R72" s="881" t="s">
        <v>452</v>
      </c>
      <c r="S72" s="883"/>
      <c r="T72" s="882">
        <v>3.2233658365924391</v>
      </c>
      <c r="U72" s="881">
        <v>3.2233658365924391</v>
      </c>
      <c r="V72" s="884"/>
      <c r="W72" s="881" t="s">
        <v>452</v>
      </c>
      <c r="X72" s="881" t="s">
        <v>452</v>
      </c>
      <c r="Z72" s="1147"/>
      <c r="AC72" s="1148"/>
      <c r="AD72" s="1149"/>
      <c r="AF72" s="1151"/>
      <c r="AG72" s="1152"/>
      <c r="AH72" s="1152"/>
      <c r="AI72" s="1152"/>
      <c r="AJ72" s="1153"/>
      <c r="AK72" s="1151"/>
      <c r="AL72" s="1152"/>
      <c r="AM72" s="1154"/>
      <c r="AN72" s="1152"/>
      <c r="AO72" s="1152"/>
      <c r="AP72" s="1155"/>
      <c r="AQ72" s="1155"/>
      <c r="AR72" s="1151"/>
      <c r="AS72" s="1152"/>
      <c r="AT72" s="1152"/>
      <c r="AU72" s="1152"/>
      <c r="AV72" s="1153"/>
      <c r="AW72" s="1151"/>
      <c r="AX72" s="1152"/>
      <c r="AY72" s="1154"/>
      <c r="AZ72" s="1152"/>
      <c r="BA72" s="1152"/>
    </row>
    <row r="73" spans="1:53">
      <c r="A73" s="764"/>
      <c r="B73" s="764" t="s">
        <v>1038</v>
      </c>
      <c r="C73" s="896">
        <v>2.0262390670553936</v>
      </c>
      <c r="D73" s="881">
        <v>0.49708454810495628</v>
      </c>
      <c r="E73" s="881">
        <v>1.5291545189504372</v>
      </c>
      <c r="F73" s="881">
        <v>0</v>
      </c>
      <c r="G73" s="883"/>
      <c r="H73" s="882">
        <v>4.1399416909620994</v>
      </c>
      <c r="I73" s="881">
        <v>0.23323615160349853</v>
      </c>
      <c r="J73" s="884"/>
      <c r="K73" s="881">
        <v>2.8862973760932946</v>
      </c>
      <c r="L73" s="881">
        <v>1.0204081632653061</v>
      </c>
      <c r="M73" s="479"/>
      <c r="N73" s="479"/>
      <c r="O73" s="882">
        <v>5.5002060455864914</v>
      </c>
      <c r="P73" s="881">
        <v>1.3493311234136645</v>
      </c>
      <c r="Q73" s="881">
        <v>4.1508749221728269</v>
      </c>
      <c r="R73" s="881">
        <v>0</v>
      </c>
      <c r="S73" s="883"/>
      <c r="T73" s="882">
        <v>11.237831057169521</v>
      </c>
      <c r="U73" s="881">
        <v>0.63311724265743785</v>
      </c>
      <c r="V73" s="884"/>
      <c r="W73" s="881">
        <v>7.8348258778857929</v>
      </c>
      <c r="X73" s="881">
        <v>2.7698879366262905</v>
      </c>
      <c r="Z73" s="1147"/>
      <c r="AC73" s="1148"/>
      <c r="AD73" s="1149"/>
      <c r="AF73" s="1151"/>
      <c r="AG73" s="1152"/>
      <c r="AH73" s="1152"/>
      <c r="AI73" s="1152"/>
      <c r="AJ73" s="1153"/>
      <c r="AK73" s="1151"/>
      <c r="AL73" s="1152"/>
      <c r="AM73" s="1154"/>
      <c r="AN73" s="1152"/>
      <c r="AO73" s="1152"/>
      <c r="AP73" s="1155"/>
      <c r="AQ73" s="1155"/>
      <c r="AR73" s="1151"/>
      <c r="AS73" s="1152"/>
      <c r="AT73" s="1152"/>
      <c r="AU73" s="1152"/>
      <c r="AV73" s="1153"/>
      <c r="AW73" s="1151"/>
      <c r="AX73" s="1152"/>
      <c r="AY73" s="1154"/>
      <c r="AZ73" s="1152"/>
      <c r="BA73" s="1152"/>
    </row>
    <row r="74" spans="1:53">
      <c r="A74" s="764"/>
      <c r="B74" s="764" t="s">
        <v>1039</v>
      </c>
      <c r="C74" s="896">
        <v>0.87</v>
      </c>
      <c r="D74" s="881">
        <v>0.17499999999999999</v>
      </c>
      <c r="E74" s="881">
        <v>0.69500000000000006</v>
      </c>
      <c r="F74" s="881" t="s">
        <v>452</v>
      </c>
      <c r="G74" s="883"/>
      <c r="H74" s="882" t="s">
        <v>452</v>
      </c>
      <c r="I74" s="881" t="s">
        <v>452</v>
      </c>
      <c r="J74" s="884"/>
      <c r="K74" s="881" t="s">
        <v>452</v>
      </c>
      <c r="L74" s="881" t="s">
        <v>452</v>
      </c>
      <c r="M74" s="479"/>
      <c r="N74" s="479"/>
      <c r="O74" s="882">
        <v>4.2699999999999996</v>
      </c>
      <c r="P74" s="881">
        <v>0.87</v>
      </c>
      <c r="Q74" s="881">
        <v>3.3999999999999995</v>
      </c>
      <c r="R74" s="881" t="s">
        <v>452</v>
      </c>
      <c r="S74" s="883"/>
      <c r="T74" s="882" t="s">
        <v>452</v>
      </c>
      <c r="U74" s="881" t="s">
        <v>452</v>
      </c>
      <c r="V74" s="884"/>
      <c r="W74" s="881" t="s">
        <v>452</v>
      </c>
      <c r="X74" s="881" t="s">
        <v>452</v>
      </c>
      <c r="Z74" s="1147"/>
      <c r="AC74" s="1148"/>
      <c r="AD74" s="1149"/>
      <c r="AF74" s="1151"/>
      <c r="AG74" s="1152"/>
      <c r="AH74" s="1152"/>
      <c r="AI74" s="1152"/>
      <c r="AJ74" s="1153"/>
      <c r="AK74" s="1151"/>
      <c r="AL74" s="1152"/>
      <c r="AM74" s="1154"/>
      <c r="AN74" s="1152"/>
      <c r="AO74" s="1152"/>
      <c r="AP74" s="1155"/>
      <c r="AQ74" s="1155"/>
      <c r="AR74" s="1151"/>
      <c r="AS74" s="1152"/>
      <c r="AT74" s="1152"/>
      <c r="AU74" s="1152"/>
      <c r="AV74" s="1153"/>
      <c r="AW74" s="1151"/>
      <c r="AX74" s="1152"/>
      <c r="AY74" s="1154"/>
      <c r="AZ74" s="1152"/>
      <c r="BA74" s="1152"/>
    </row>
    <row r="75" spans="1:53">
      <c r="A75" s="764"/>
      <c r="B75" s="764" t="s">
        <v>1040</v>
      </c>
      <c r="C75" s="896">
        <v>0.27411802102506777</v>
      </c>
      <c r="D75" s="881">
        <v>0.12221822593474357</v>
      </c>
      <c r="E75" s="881">
        <v>0.15189979509032417</v>
      </c>
      <c r="F75" s="881">
        <v>8.7298732810531132E-2</v>
      </c>
      <c r="G75" s="883"/>
      <c r="H75" s="882">
        <v>0.11348835265369046</v>
      </c>
      <c r="I75" s="881" t="s">
        <v>452</v>
      </c>
      <c r="J75" s="884"/>
      <c r="K75" s="881">
        <v>0.11348835265369046</v>
      </c>
      <c r="L75" s="881" t="s">
        <v>452</v>
      </c>
      <c r="M75" s="479"/>
      <c r="N75" s="479"/>
      <c r="O75" s="882">
        <v>1.7014574608745749</v>
      </c>
      <c r="P75" s="881">
        <v>0.75861160675936457</v>
      </c>
      <c r="Q75" s="881">
        <v>0.94284585411521027</v>
      </c>
      <c r="R75" s="881">
        <v>0.54186543339954607</v>
      </c>
      <c r="S75" s="883"/>
      <c r="T75" s="882">
        <v>0.70442506341941002</v>
      </c>
      <c r="U75" s="881" t="s">
        <v>452</v>
      </c>
      <c r="V75" s="884"/>
      <c r="W75" s="881">
        <v>0.70442506341941002</v>
      </c>
      <c r="X75" s="881" t="s">
        <v>452</v>
      </c>
      <c r="Z75" s="1147"/>
      <c r="AC75" s="1148"/>
      <c r="AD75" s="1149"/>
      <c r="AF75" s="1151"/>
      <c r="AG75" s="1152"/>
      <c r="AH75" s="1152"/>
      <c r="AI75" s="1152"/>
      <c r="AJ75" s="1153"/>
      <c r="AK75" s="1151"/>
      <c r="AL75" s="1152"/>
      <c r="AM75" s="1154"/>
      <c r="AN75" s="1152"/>
      <c r="AO75" s="1152"/>
      <c r="AP75" s="1155"/>
      <c r="AQ75" s="1155"/>
      <c r="AR75" s="1151"/>
      <c r="AS75" s="1152"/>
      <c r="AT75" s="1152"/>
      <c r="AU75" s="1152"/>
      <c r="AV75" s="1153"/>
      <c r="AW75" s="1151"/>
      <c r="AX75" s="1152"/>
      <c r="AY75" s="1154"/>
      <c r="AZ75" s="1152"/>
      <c r="BA75" s="1152"/>
    </row>
    <row r="76" spans="1:53">
      <c r="A76" s="764"/>
      <c r="B76" s="764" t="s">
        <v>1041</v>
      </c>
      <c r="C76" s="896">
        <v>0.14495467146627655</v>
      </c>
      <c r="D76" s="881" t="s">
        <v>452</v>
      </c>
      <c r="E76" s="881" t="s">
        <v>452</v>
      </c>
      <c r="F76" s="881" t="s">
        <v>452</v>
      </c>
      <c r="G76" s="883"/>
      <c r="H76" s="882" t="s">
        <v>452</v>
      </c>
      <c r="I76" s="881" t="s">
        <v>452</v>
      </c>
      <c r="J76" s="884"/>
      <c r="K76" s="881" t="s">
        <v>452</v>
      </c>
      <c r="L76" s="881" t="s">
        <v>452</v>
      </c>
      <c r="M76" s="479"/>
      <c r="N76" s="479"/>
      <c r="O76" s="882">
        <v>1.2076873278834026</v>
      </c>
      <c r="P76" s="881" t="s">
        <v>452</v>
      </c>
      <c r="Q76" s="881" t="s">
        <v>452</v>
      </c>
      <c r="R76" s="881" t="s">
        <v>452</v>
      </c>
      <c r="S76" s="883"/>
      <c r="T76" s="882" t="s">
        <v>452</v>
      </c>
      <c r="U76" s="881" t="s">
        <v>452</v>
      </c>
      <c r="V76" s="884"/>
      <c r="W76" s="881" t="s">
        <v>452</v>
      </c>
      <c r="X76" s="881" t="s">
        <v>452</v>
      </c>
      <c r="Z76" s="1147"/>
      <c r="AC76" s="1148"/>
      <c r="AD76" s="1149"/>
      <c r="AF76" s="1151"/>
      <c r="AG76" s="1152"/>
      <c r="AH76" s="1152"/>
      <c r="AI76" s="1152"/>
      <c r="AJ76" s="1153"/>
      <c r="AK76" s="1151"/>
      <c r="AL76" s="1152"/>
      <c r="AM76" s="1154"/>
      <c r="AN76" s="1152"/>
      <c r="AO76" s="1152"/>
      <c r="AP76" s="1155"/>
      <c r="AQ76" s="1155"/>
      <c r="AR76" s="1151"/>
      <c r="AS76" s="1152"/>
      <c r="AT76" s="1152"/>
      <c r="AU76" s="1152"/>
      <c r="AV76" s="1153"/>
      <c r="AW76" s="1151"/>
      <c r="AX76" s="1152"/>
      <c r="AY76" s="1154"/>
      <c r="AZ76" s="1152"/>
      <c r="BA76" s="1152"/>
    </row>
    <row r="77" spans="1:53">
      <c r="A77" s="764"/>
      <c r="B77" s="764" t="s">
        <v>27</v>
      </c>
      <c r="C77" s="896">
        <v>3.6598885495522917</v>
      </c>
      <c r="D77" s="881">
        <v>0.9949154937797603</v>
      </c>
      <c r="E77" s="881">
        <v>2.6649730557725313</v>
      </c>
      <c r="F77" s="881">
        <v>0.35011688930666052</v>
      </c>
      <c r="G77" s="883"/>
      <c r="H77" s="882">
        <v>2.6970671039589753</v>
      </c>
      <c r="I77" s="881">
        <v>0.94648265742567239</v>
      </c>
      <c r="J77" s="884"/>
      <c r="K77" s="881" t="s">
        <v>452</v>
      </c>
      <c r="L77" s="881">
        <v>1.7505844465333027</v>
      </c>
      <c r="M77" s="479"/>
      <c r="N77" s="479"/>
      <c r="O77" s="882">
        <v>5.2881375195675631</v>
      </c>
      <c r="P77" s="881">
        <v>1.4375437612982611</v>
      </c>
      <c r="Q77" s="881">
        <v>3.8505937582693015</v>
      </c>
      <c r="R77" s="881">
        <v>0.50588050250965211</v>
      </c>
      <c r="S77" s="883"/>
      <c r="T77" s="882">
        <v>3.8969661376660198</v>
      </c>
      <c r="U77" s="881">
        <v>1.3675636251177596</v>
      </c>
      <c r="V77" s="884"/>
      <c r="W77" s="881" t="s">
        <v>452</v>
      </c>
      <c r="X77" s="881">
        <v>2.5294025125482604</v>
      </c>
      <c r="Z77" s="1147"/>
      <c r="AC77" s="1148"/>
      <c r="AD77" s="1149"/>
      <c r="AF77" s="1151"/>
      <c r="AG77" s="1152"/>
      <c r="AH77" s="1152"/>
      <c r="AI77" s="1152"/>
      <c r="AJ77" s="1153"/>
      <c r="AK77" s="1151"/>
      <c r="AL77" s="1152"/>
      <c r="AM77" s="1154"/>
      <c r="AN77" s="1152"/>
      <c r="AO77" s="1152"/>
      <c r="AP77" s="1155"/>
      <c r="AQ77" s="1155"/>
      <c r="AR77" s="1151"/>
      <c r="AS77" s="1152"/>
      <c r="AT77" s="1152"/>
      <c r="AU77" s="1152"/>
      <c r="AV77" s="1153"/>
      <c r="AW77" s="1151"/>
      <c r="AX77" s="1152"/>
      <c r="AY77" s="1154"/>
      <c r="AZ77" s="1152"/>
      <c r="BA77" s="1152"/>
    </row>
    <row r="78" spans="1:53">
      <c r="A78" s="764"/>
      <c r="B78" s="764" t="s">
        <v>1042</v>
      </c>
      <c r="C78" s="896">
        <v>4.9060681207454021E-2</v>
      </c>
      <c r="D78" s="881">
        <v>1.9665673901722074E-2</v>
      </c>
      <c r="E78" s="881">
        <v>2.9395007305731947E-2</v>
      </c>
      <c r="F78" s="881" t="s">
        <v>452</v>
      </c>
      <c r="G78" s="883"/>
      <c r="H78" s="882">
        <v>3.1051064055350644E-2</v>
      </c>
      <c r="I78" s="881">
        <v>0</v>
      </c>
      <c r="J78" s="884"/>
      <c r="K78" s="881">
        <v>3.1051064055350644E-2</v>
      </c>
      <c r="L78" s="881" t="s">
        <v>452</v>
      </c>
      <c r="M78" s="479"/>
      <c r="N78" s="479"/>
      <c r="O78" s="882">
        <v>2.8742827643167974</v>
      </c>
      <c r="P78" s="881">
        <v>1.1521386608020918</v>
      </c>
      <c r="Q78" s="881">
        <v>1.722144103514706</v>
      </c>
      <c r="R78" s="881" t="s">
        <v>452</v>
      </c>
      <c r="S78" s="883"/>
      <c r="T78" s="882">
        <v>1.8191663065296186</v>
      </c>
      <c r="U78" s="881">
        <v>0</v>
      </c>
      <c r="V78" s="884"/>
      <c r="W78" s="881">
        <v>1.8191663065296186</v>
      </c>
      <c r="X78" s="881" t="s">
        <v>452</v>
      </c>
      <c r="Z78" s="1147"/>
      <c r="AC78" s="1148"/>
      <c r="AD78" s="1149"/>
      <c r="AF78" s="1151"/>
      <c r="AG78" s="1152"/>
      <c r="AH78" s="1152"/>
      <c r="AI78" s="1152"/>
      <c r="AJ78" s="1153"/>
      <c r="AK78" s="1151"/>
      <c r="AL78" s="1152"/>
      <c r="AM78" s="1154"/>
      <c r="AN78" s="1152"/>
      <c r="AO78" s="1152"/>
      <c r="AP78" s="1155"/>
      <c r="AQ78" s="1155"/>
      <c r="AR78" s="1151"/>
      <c r="AS78" s="1152"/>
      <c r="AT78" s="1152"/>
      <c r="AU78" s="1152"/>
      <c r="AV78" s="1153"/>
      <c r="AW78" s="1151"/>
      <c r="AX78" s="1152"/>
      <c r="AY78" s="1154"/>
      <c r="AZ78" s="1152"/>
      <c r="BA78" s="1152"/>
    </row>
    <row r="79" spans="1:53">
      <c r="A79" s="764"/>
      <c r="B79" s="764" t="s">
        <v>42</v>
      </c>
      <c r="C79" s="896">
        <v>32.063993334728984</v>
      </c>
      <c r="D79" s="881">
        <v>1.5165334699489497</v>
      </c>
      <c r="E79" s="881">
        <v>30.547459864780031</v>
      </c>
      <c r="F79" s="881">
        <v>4.0446076631681755</v>
      </c>
      <c r="G79" s="883"/>
      <c r="H79" s="882">
        <v>6.3189963380984064</v>
      </c>
      <c r="I79" s="881">
        <v>3.2859281358385646</v>
      </c>
      <c r="J79" s="884"/>
      <c r="K79" s="881" t="s">
        <v>452</v>
      </c>
      <c r="L79" s="881">
        <v>3.0330682022598419</v>
      </c>
      <c r="M79" s="479"/>
      <c r="N79" s="479"/>
      <c r="O79" s="882">
        <v>12.682470249573225</v>
      </c>
      <c r="P79" s="881">
        <v>0.59984389387573989</v>
      </c>
      <c r="Q79" s="881">
        <v>12.082626355697483</v>
      </c>
      <c r="R79" s="881">
        <v>1.5997887669146695</v>
      </c>
      <c r="S79" s="883"/>
      <c r="T79" s="882">
        <v>2.4993918327164151</v>
      </c>
      <c r="U79" s="881">
        <v>1.2997035456550827</v>
      </c>
      <c r="V79" s="884"/>
      <c r="W79" s="881" t="s">
        <v>452</v>
      </c>
      <c r="X79" s="881">
        <v>1.1996882870613323</v>
      </c>
      <c r="Z79" s="1147"/>
      <c r="AC79" s="1148"/>
      <c r="AD79" s="1149"/>
      <c r="AF79" s="1151"/>
      <c r="AG79" s="1152"/>
      <c r="AH79" s="1152"/>
      <c r="AI79" s="1152"/>
      <c r="AJ79" s="1153"/>
      <c r="AK79" s="1151"/>
      <c r="AL79" s="1152"/>
      <c r="AM79" s="1154"/>
      <c r="AN79" s="1152"/>
      <c r="AO79" s="1152"/>
      <c r="AP79" s="1155"/>
      <c r="AQ79" s="1155"/>
      <c r="AR79" s="1151"/>
      <c r="AS79" s="1152"/>
      <c r="AT79" s="1152"/>
      <c r="AU79" s="1152"/>
      <c r="AV79" s="1153"/>
      <c r="AW79" s="1151"/>
      <c r="AX79" s="1152"/>
      <c r="AY79" s="1154"/>
      <c r="AZ79" s="1152"/>
      <c r="BA79" s="1152"/>
    </row>
    <row r="80" spans="1:53">
      <c r="A80" s="764"/>
      <c r="B80" s="764" t="s">
        <v>34</v>
      </c>
      <c r="C80" s="896">
        <v>12.537379304867349</v>
      </c>
      <c r="D80" s="881">
        <v>3.8751505833461795</v>
      </c>
      <c r="E80" s="881">
        <v>8.6622287215211689</v>
      </c>
      <c r="F80" s="881">
        <v>0.4819569618750838</v>
      </c>
      <c r="G80" s="883"/>
      <c r="H80" s="882">
        <v>14.618458635750434</v>
      </c>
      <c r="I80" s="881">
        <v>7.6937118380227556</v>
      </c>
      <c r="J80" s="884"/>
      <c r="K80" s="881">
        <v>6.9247467977276784</v>
      </c>
      <c r="L80" s="881" t="s">
        <v>452</v>
      </c>
      <c r="M80" s="479"/>
      <c r="N80" s="479"/>
      <c r="O80" s="882">
        <v>4.6169047873067024</v>
      </c>
      <c r="P80" s="881">
        <v>1.4270287948327041</v>
      </c>
      <c r="Q80" s="881">
        <v>3.1898759924739983</v>
      </c>
      <c r="R80" s="881">
        <v>0.17748122238696293</v>
      </c>
      <c r="S80" s="883"/>
      <c r="T80" s="882">
        <v>5.3832647172315324</v>
      </c>
      <c r="U80" s="881">
        <v>2.8332185023177257</v>
      </c>
      <c r="V80" s="884"/>
      <c r="W80" s="881">
        <v>2.5500462149138068</v>
      </c>
      <c r="X80" s="881" t="s">
        <v>452</v>
      </c>
      <c r="Z80" s="1147"/>
      <c r="AC80" s="1148"/>
      <c r="AD80" s="1149"/>
      <c r="AF80" s="1151"/>
      <c r="AG80" s="1152"/>
      <c r="AH80" s="1152"/>
      <c r="AI80" s="1152"/>
      <c r="AJ80" s="1153"/>
      <c r="AK80" s="1151"/>
      <c r="AL80" s="1152"/>
      <c r="AM80" s="1154"/>
      <c r="AN80" s="1152"/>
      <c r="AO80" s="1152"/>
      <c r="AP80" s="1155"/>
      <c r="AQ80" s="1155"/>
      <c r="AR80" s="1151"/>
      <c r="AS80" s="1152"/>
      <c r="AT80" s="1152"/>
      <c r="AU80" s="1152"/>
      <c r="AV80" s="1153"/>
      <c r="AW80" s="1151"/>
      <c r="AX80" s="1152"/>
      <c r="AY80" s="1154"/>
      <c r="AZ80" s="1152"/>
      <c r="BA80" s="1152"/>
    </row>
    <row r="81" spans="1:53">
      <c r="A81" s="764"/>
      <c r="B81" s="764" t="s">
        <v>1043</v>
      </c>
      <c r="C81" s="896">
        <v>1</v>
      </c>
      <c r="D81" s="881">
        <v>0.2</v>
      </c>
      <c r="E81" s="881">
        <v>0.8</v>
      </c>
      <c r="F81" s="881">
        <v>0</v>
      </c>
      <c r="G81" s="883"/>
      <c r="H81" s="882" t="s">
        <v>452</v>
      </c>
      <c r="I81" s="881" t="s">
        <v>452</v>
      </c>
      <c r="J81" s="884"/>
      <c r="K81" s="881" t="s">
        <v>452</v>
      </c>
      <c r="L81" s="881" t="s">
        <v>452</v>
      </c>
      <c r="M81" s="479"/>
      <c r="N81" s="479"/>
      <c r="O81" s="882">
        <v>1.6</v>
      </c>
      <c r="P81" s="881">
        <v>0.3</v>
      </c>
      <c r="Q81" s="881">
        <v>1.3</v>
      </c>
      <c r="R81" s="881">
        <v>0</v>
      </c>
      <c r="S81" s="883"/>
      <c r="T81" s="882" t="s">
        <v>452</v>
      </c>
      <c r="U81" s="881" t="s">
        <v>452</v>
      </c>
      <c r="V81" s="884"/>
      <c r="W81" s="881" t="s">
        <v>452</v>
      </c>
      <c r="X81" s="881" t="s">
        <v>452</v>
      </c>
      <c r="Z81" s="1147"/>
      <c r="AC81" s="1148"/>
      <c r="AD81" s="1149"/>
      <c r="AF81" s="1151"/>
      <c r="AG81" s="1152"/>
      <c r="AH81" s="1152"/>
      <c r="AI81" s="1152"/>
      <c r="AJ81" s="1153"/>
      <c r="AK81" s="1151"/>
      <c r="AL81" s="1152"/>
      <c r="AM81" s="1154"/>
      <c r="AN81" s="1152"/>
      <c r="AO81" s="1152"/>
      <c r="AP81" s="1155"/>
      <c r="AQ81" s="1155"/>
      <c r="AR81" s="1151"/>
      <c r="AS81" s="1152"/>
      <c r="AT81" s="1152"/>
      <c r="AU81" s="1152"/>
      <c r="AV81" s="1153"/>
      <c r="AW81" s="1151"/>
      <c r="AX81" s="1152"/>
      <c r="AY81" s="1154"/>
      <c r="AZ81" s="1152"/>
      <c r="BA81" s="1152"/>
    </row>
    <row r="82" spans="1:53">
      <c r="A82" s="764"/>
      <c r="B82" s="764" t="s">
        <v>1044</v>
      </c>
      <c r="C82" s="896">
        <v>2.5869150931678755</v>
      </c>
      <c r="D82" s="881">
        <v>0.27214770120994602</v>
      </c>
      <c r="E82" s="881">
        <v>2.3147673919579295</v>
      </c>
      <c r="F82" s="881">
        <v>0.63501130282320739</v>
      </c>
      <c r="G82" s="883"/>
      <c r="H82" s="882">
        <v>2.0259884423407093</v>
      </c>
      <c r="I82" s="881">
        <v>0.93739763750092508</v>
      </c>
      <c r="J82" s="884"/>
      <c r="K82" s="881">
        <v>1.0885908048397841</v>
      </c>
      <c r="L82" s="881" t="s">
        <v>452</v>
      </c>
      <c r="M82" s="479"/>
      <c r="N82" s="479"/>
      <c r="O82" s="882">
        <v>4.6054544084238627</v>
      </c>
      <c r="P82" s="881">
        <v>0.48450134045370857</v>
      </c>
      <c r="Q82" s="881">
        <v>4.120953067970154</v>
      </c>
      <c r="R82" s="881">
        <v>1.1305031277253199</v>
      </c>
      <c r="S82" s="883"/>
      <c r="T82" s="882">
        <v>3.6068433122664976</v>
      </c>
      <c r="U82" s="881">
        <v>1.6688379504516631</v>
      </c>
      <c r="V82" s="884"/>
      <c r="W82" s="881">
        <v>1.9380053618148343</v>
      </c>
      <c r="X82" s="881" t="s">
        <v>452</v>
      </c>
      <c r="Z82" s="1147"/>
      <c r="AC82" s="1148"/>
      <c r="AD82" s="1149"/>
      <c r="AF82" s="1151"/>
      <c r="AG82" s="1152"/>
      <c r="AH82" s="1152"/>
      <c r="AI82" s="1152"/>
      <c r="AJ82" s="1153"/>
      <c r="AK82" s="1151"/>
      <c r="AL82" s="1152"/>
      <c r="AM82" s="1154"/>
      <c r="AN82" s="1152"/>
      <c r="AO82" s="1152"/>
      <c r="AP82" s="1155"/>
      <c r="AQ82" s="1155"/>
      <c r="AR82" s="1151"/>
      <c r="AS82" s="1152"/>
      <c r="AT82" s="1152"/>
      <c r="AU82" s="1152"/>
      <c r="AV82" s="1153"/>
      <c r="AW82" s="1151"/>
      <c r="AX82" s="1152"/>
      <c r="AY82" s="1154"/>
      <c r="AZ82" s="1152"/>
      <c r="BA82" s="1152"/>
    </row>
    <row r="83" spans="1:53">
      <c r="A83" s="562"/>
      <c r="B83" s="562" t="s">
        <v>1045</v>
      </c>
      <c r="C83" s="896">
        <v>9.7943366666666653E-3</v>
      </c>
      <c r="D83" s="881">
        <v>1.6323894444444441E-3</v>
      </c>
      <c r="E83" s="881">
        <v>8.1619472222222208E-3</v>
      </c>
      <c r="F83" s="881" t="s">
        <v>452</v>
      </c>
      <c r="G83" s="883"/>
      <c r="H83" s="882">
        <v>3.7037037037037034E-3</v>
      </c>
      <c r="I83" s="881">
        <v>3.7037037037037034E-3</v>
      </c>
      <c r="J83" s="884"/>
      <c r="K83" s="881" t="s">
        <v>452</v>
      </c>
      <c r="L83" s="881" t="s">
        <v>452</v>
      </c>
      <c r="M83" s="479"/>
      <c r="N83" s="479"/>
      <c r="O83" s="882">
        <v>1.8</v>
      </c>
      <c r="P83" s="881">
        <v>0.3</v>
      </c>
      <c r="Q83" s="881">
        <v>1.5</v>
      </c>
      <c r="R83" s="881" t="s">
        <v>452</v>
      </c>
      <c r="S83" s="883"/>
      <c r="T83" s="882">
        <v>0.68066545939303025</v>
      </c>
      <c r="U83" s="881">
        <v>0.68066545939303025</v>
      </c>
      <c r="V83" s="884"/>
      <c r="W83" s="881" t="s">
        <v>452</v>
      </c>
      <c r="X83" s="881" t="s">
        <v>452</v>
      </c>
      <c r="Z83" s="1147"/>
      <c r="AB83" s="1172"/>
      <c r="AC83" s="1148"/>
      <c r="AD83" s="1149"/>
      <c r="AF83" s="1151"/>
      <c r="AG83" s="1152"/>
      <c r="AH83" s="1152"/>
      <c r="AI83" s="1152"/>
      <c r="AJ83" s="1153"/>
      <c r="AK83" s="1151"/>
      <c r="AL83" s="1152"/>
      <c r="AM83" s="1154"/>
      <c r="AN83" s="1152"/>
      <c r="AO83" s="1152"/>
      <c r="AP83" s="1155"/>
      <c r="AQ83" s="1155"/>
      <c r="AR83" s="1151"/>
      <c r="AS83" s="1152"/>
      <c r="AT83" s="1152"/>
      <c r="AU83" s="1152"/>
      <c r="AV83" s="1153"/>
      <c r="AW83" s="1151"/>
      <c r="AX83" s="1152"/>
      <c r="AY83" s="1154"/>
      <c r="AZ83" s="1152"/>
      <c r="BA83" s="1152"/>
    </row>
    <row r="84" spans="1:53">
      <c r="A84" s="764"/>
      <c r="B84" s="764" t="s">
        <v>1046</v>
      </c>
      <c r="C84" s="896">
        <v>2.6044534240929136</v>
      </c>
      <c r="D84" s="881">
        <v>0.2367684930993558</v>
      </c>
      <c r="E84" s="881">
        <v>2.3676849309935579</v>
      </c>
      <c r="F84" s="881" t="s">
        <v>452</v>
      </c>
      <c r="G84" s="883"/>
      <c r="H84" s="882" t="s">
        <v>452</v>
      </c>
      <c r="I84" s="881" t="s">
        <v>452</v>
      </c>
      <c r="J84" s="884"/>
      <c r="K84" s="881" t="s">
        <v>452</v>
      </c>
      <c r="L84" s="881" t="s">
        <v>452</v>
      </c>
      <c r="M84" s="479"/>
      <c r="N84" s="479"/>
      <c r="O84" s="882">
        <v>3.3</v>
      </c>
      <c r="P84" s="881">
        <v>0.3</v>
      </c>
      <c r="Q84" s="881">
        <v>3</v>
      </c>
      <c r="R84" s="881" t="s">
        <v>452</v>
      </c>
      <c r="S84" s="883"/>
      <c r="T84" s="882" t="s">
        <v>452</v>
      </c>
      <c r="U84" s="881" t="s">
        <v>452</v>
      </c>
      <c r="V84" s="884"/>
      <c r="W84" s="881" t="s">
        <v>452</v>
      </c>
      <c r="X84" s="881" t="s">
        <v>452</v>
      </c>
      <c r="Z84" s="1147"/>
      <c r="AC84" s="1148"/>
      <c r="AD84" s="1149"/>
      <c r="AF84" s="1151"/>
      <c r="AG84" s="1152"/>
      <c r="AH84" s="1152"/>
      <c r="AI84" s="1152"/>
      <c r="AJ84" s="1153"/>
      <c r="AK84" s="1151"/>
      <c r="AL84" s="1152"/>
      <c r="AM84" s="1154"/>
      <c r="AN84" s="1152"/>
      <c r="AO84" s="1152"/>
      <c r="AP84" s="1155"/>
      <c r="AQ84" s="1155"/>
      <c r="AR84" s="1151"/>
      <c r="AS84" s="1152"/>
      <c r="AT84" s="1152"/>
      <c r="AU84" s="1152"/>
      <c r="AV84" s="1153"/>
      <c r="AW84" s="1151"/>
      <c r="AX84" s="1152"/>
      <c r="AY84" s="1154"/>
      <c r="AZ84" s="1152"/>
      <c r="BA84" s="1152"/>
    </row>
    <row r="85" spans="1:53">
      <c r="A85" s="764"/>
      <c r="B85" s="764" t="s">
        <v>1047</v>
      </c>
      <c r="C85" s="896">
        <v>0.68850767749000008</v>
      </c>
      <c r="D85" s="881">
        <v>0.28184314389999998</v>
      </c>
      <c r="E85" s="881">
        <v>0.4066645335900001</v>
      </c>
      <c r="F85" s="881" t="s">
        <v>452</v>
      </c>
      <c r="G85" s="883"/>
      <c r="H85" s="882" t="s">
        <v>452</v>
      </c>
      <c r="I85" s="881" t="s">
        <v>452</v>
      </c>
      <c r="J85" s="884"/>
      <c r="K85" s="881" t="s">
        <v>452</v>
      </c>
      <c r="L85" s="881" t="s">
        <v>452</v>
      </c>
      <c r="M85" s="479"/>
      <c r="N85" s="479"/>
      <c r="O85" s="882">
        <v>0.71226118727146415</v>
      </c>
      <c r="P85" s="881">
        <v>0.29156673028014524</v>
      </c>
      <c r="Q85" s="881">
        <v>0.42069445699131891</v>
      </c>
      <c r="R85" s="881" t="s">
        <v>452</v>
      </c>
      <c r="S85" s="883"/>
      <c r="T85" s="882" t="s">
        <v>452</v>
      </c>
      <c r="U85" s="881" t="s">
        <v>452</v>
      </c>
      <c r="V85" s="884"/>
      <c r="W85" s="881" t="s">
        <v>452</v>
      </c>
      <c r="X85" s="881" t="s">
        <v>452</v>
      </c>
      <c r="Z85" s="1147"/>
      <c r="AC85" s="1148"/>
      <c r="AD85" s="1149"/>
      <c r="AF85" s="1151"/>
      <c r="AG85" s="1152"/>
      <c r="AH85" s="1152"/>
      <c r="AI85" s="1152"/>
      <c r="AJ85" s="1153"/>
      <c r="AK85" s="1151"/>
      <c r="AL85" s="1152"/>
      <c r="AM85" s="1154"/>
      <c r="AN85" s="1152"/>
      <c r="AO85" s="1152"/>
      <c r="AP85" s="1155"/>
      <c r="AQ85" s="1155"/>
      <c r="AR85" s="1151"/>
      <c r="AS85" s="1152"/>
      <c r="AT85" s="1152"/>
      <c r="AU85" s="1152"/>
      <c r="AV85" s="1153"/>
      <c r="AW85" s="1151"/>
      <c r="AX85" s="1152"/>
      <c r="AY85" s="1154"/>
      <c r="AZ85" s="1152"/>
      <c r="BA85" s="1152"/>
    </row>
    <row r="86" spans="1:53">
      <c r="A86" s="764"/>
      <c r="B86" s="764" t="s">
        <v>23</v>
      </c>
      <c r="C86" s="896">
        <v>5.6957877830164128</v>
      </c>
      <c r="D86" s="881">
        <v>0.80458007357131589</v>
      </c>
      <c r="E86" s="881">
        <v>4.891207709445097</v>
      </c>
      <c r="F86" s="881" t="s">
        <v>452</v>
      </c>
      <c r="G86" s="883"/>
      <c r="H86" s="882">
        <v>0.46256670638826908</v>
      </c>
      <c r="I86" s="881">
        <v>0.46256670638826908</v>
      </c>
      <c r="J86" s="884"/>
      <c r="K86" s="881" t="s">
        <v>452</v>
      </c>
      <c r="L86" s="881" t="s">
        <v>452</v>
      </c>
      <c r="M86" s="479"/>
      <c r="N86" s="479"/>
      <c r="O86" s="882">
        <v>1.5680273855370135</v>
      </c>
      <c r="P86" s="881">
        <v>0.22149764655541296</v>
      </c>
      <c r="Q86" s="881">
        <v>1.3465297389816004</v>
      </c>
      <c r="R86" s="881" t="s">
        <v>452</v>
      </c>
      <c r="S86" s="883"/>
      <c r="T86" s="882">
        <v>0.12734274711168164</v>
      </c>
      <c r="U86" s="881">
        <v>0.12734274711168164</v>
      </c>
      <c r="V86" s="884"/>
      <c r="W86" s="881" t="s">
        <v>452</v>
      </c>
      <c r="X86" s="881" t="s">
        <v>452</v>
      </c>
      <c r="Z86" s="1147"/>
      <c r="AB86" s="1172"/>
      <c r="AC86" s="1148"/>
      <c r="AD86" s="1149"/>
      <c r="AF86" s="1151"/>
      <c r="AG86" s="1152"/>
      <c r="AH86" s="1152"/>
      <c r="AI86" s="1152"/>
      <c r="AJ86" s="1153"/>
      <c r="AK86" s="1151"/>
      <c r="AL86" s="1152"/>
      <c r="AM86" s="1154"/>
      <c r="AN86" s="1152"/>
      <c r="AO86" s="1152"/>
      <c r="AP86" s="1155"/>
      <c r="AQ86" s="1155"/>
      <c r="AR86" s="1151"/>
      <c r="AS86" s="1152"/>
      <c r="AT86" s="1152"/>
      <c r="AU86" s="1152"/>
      <c r="AV86" s="1153"/>
      <c r="AW86" s="1151"/>
      <c r="AX86" s="1152"/>
      <c r="AY86" s="1154"/>
      <c r="AZ86" s="1152"/>
      <c r="BA86" s="1152"/>
    </row>
    <row r="87" spans="1:53">
      <c r="A87" s="764"/>
      <c r="B87" s="764" t="s">
        <v>1048</v>
      </c>
      <c r="C87" s="896">
        <v>0.63</v>
      </c>
      <c r="D87" s="881">
        <v>0.12</v>
      </c>
      <c r="E87" s="881">
        <v>0.51</v>
      </c>
      <c r="F87" s="881" t="s">
        <v>452</v>
      </c>
      <c r="G87" s="883"/>
      <c r="H87" s="882">
        <v>0.6</v>
      </c>
      <c r="I87" s="881">
        <v>0.6</v>
      </c>
      <c r="J87" s="884"/>
      <c r="K87" s="881" t="s">
        <v>452</v>
      </c>
      <c r="L87" s="881" t="s">
        <v>452</v>
      </c>
      <c r="M87" s="479"/>
      <c r="N87" s="479"/>
      <c r="O87" s="882">
        <v>2.5569510104421012</v>
      </c>
      <c r="P87" s="881">
        <v>0.4870382877032573</v>
      </c>
      <c r="Q87" s="881">
        <v>2.0699127227388434</v>
      </c>
      <c r="R87" s="881" t="s">
        <v>452</v>
      </c>
      <c r="S87" s="883"/>
      <c r="T87" s="882">
        <v>2.4351914385162865</v>
      </c>
      <c r="U87" s="881">
        <v>2.4351914385162865</v>
      </c>
      <c r="V87" s="884"/>
      <c r="W87" s="881" t="s">
        <v>452</v>
      </c>
      <c r="X87" s="881" t="s">
        <v>452</v>
      </c>
      <c r="Z87" s="1147"/>
      <c r="AC87" s="1148"/>
      <c r="AD87" s="1149"/>
      <c r="AF87" s="1151"/>
      <c r="AG87" s="1152"/>
      <c r="AH87" s="1152"/>
      <c r="AI87" s="1152"/>
      <c r="AJ87" s="1153"/>
      <c r="AK87" s="1151"/>
      <c r="AL87" s="1152"/>
      <c r="AM87" s="1154"/>
      <c r="AN87" s="1152"/>
      <c r="AO87" s="1152"/>
      <c r="AP87" s="1155"/>
      <c r="AQ87" s="1155"/>
      <c r="AR87" s="1151"/>
      <c r="AS87" s="1152"/>
      <c r="AT87" s="1152"/>
      <c r="AU87" s="1152"/>
      <c r="AV87" s="1153"/>
      <c r="AW87" s="1151"/>
      <c r="AX87" s="1152"/>
      <c r="AY87" s="1154"/>
      <c r="AZ87" s="1152"/>
      <c r="BA87" s="1152"/>
    </row>
    <row r="88" spans="1:53">
      <c r="A88" s="764"/>
      <c r="B88" s="764" t="s">
        <v>1049</v>
      </c>
      <c r="C88" s="896">
        <v>8.0556118904301907E-2</v>
      </c>
      <c r="D88" s="881">
        <v>6.0895554247312467E-2</v>
      </c>
      <c r="E88" s="881">
        <v>1.9660564656989447E-2</v>
      </c>
      <c r="F88" s="881">
        <v>3.4797459569892837E-2</v>
      </c>
      <c r="G88" s="883"/>
      <c r="H88" s="882">
        <v>1.7398729784946418E-3</v>
      </c>
      <c r="I88" s="881" t="s">
        <v>452</v>
      </c>
      <c r="J88" s="884"/>
      <c r="K88" s="881">
        <v>1.7398729784946418E-3</v>
      </c>
      <c r="L88" s="881" t="s">
        <v>452</v>
      </c>
      <c r="M88" s="479"/>
      <c r="N88" s="479"/>
      <c r="O88" s="882">
        <v>0.80264328119807848</v>
      </c>
      <c r="P88" s="881">
        <v>0.60674978060329909</v>
      </c>
      <c r="Q88" s="881">
        <v>0.19589350059477936</v>
      </c>
      <c r="R88" s="881">
        <v>0.34671416034474234</v>
      </c>
      <c r="S88" s="883"/>
      <c r="T88" s="882">
        <v>1.7335708017237116E-2</v>
      </c>
      <c r="U88" s="881" t="s">
        <v>452</v>
      </c>
      <c r="V88" s="884"/>
      <c r="W88" s="881">
        <v>1.7335708017237116E-2</v>
      </c>
      <c r="X88" s="881" t="s">
        <v>452</v>
      </c>
      <c r="Z88" s="1147"/>
      <c r="AC88" s="1148"/>
      <c r="AD88" s="1149"/>
      <c r="AF88" s="1151"/>
      <c r="AG88" s="1152"/>
      <c r="AH88" s="1152"/>
      <c r="AI88" s="1152"/>
      <c r="AJ88" s="1153"/>
      <c r="AK88" s="1151"/>
      <c r="AL88" s="1152"/>
      <c r="AM88" s="1154"/>
      <c r="AN88" s="1152"/>
      <c r="AO88" s="1152"/>
      <c r="AP88" s="1155"/>
      <c r="AQ88" s="1155"/>
      <c r="AR88" s="1151"/>
      <c r="AS88" s="1152"/>
      <c r="AT88" s="1152"/>
      <c r="AU88" s="1152"/>
      <c r="AV88" s="1153"/>
      <c r="AW88" s="1151"/>
      <c r="AX88" s="1152"/>
      <c r="AY88" s="1154"/>
      <c r="AZ88" s="1152"/>
      <c r="BA88" s="1152"/>
    </row>
    <row r="89" spans="1:53">
      <c r="A89" s="764"/>
      <c r="B89" s="764" t="s">
        <v>1050</v>
      </c>
      <c r="C89" s="896">
        <v>0.12815905490289342</v>
      </c>
      <c r="D89" s="881">
        <v>2.7332499860806655E-2</v>
      </c>
      <c r="E89" s="881">
        <v>0.10082655504208676</v>
      </c>
      <c r="F89" s="881" t="s">
        <v>452</v>
      </c>
      <c r="G89" s="883"/>
      <c r="H89" s="882" t="s">
        <v>452</v>
      </c>
      <c r="I89" s="881" t="s">
        <v>452</v>
      </c>
      <c r="J89" s="884"/>
      <c r="K89" s="881" t="s">
        <v>452</v>
      </c>
      <c r="L89" s="881" t="s">
        <v>452</v>
      </c>
      <c r="M89" s="479"/>
      <c r="N89" s="479"/>
      <c r="O89" s="882">
        <v>3.2193473381137108</v>
      </c>
      <c r="P89" s="881">
        <v>0.68659066452662088</v>
      </c>
      <c r="Q89" s="881">
        <v>2.5327566735870897</v>
      </c>
      <c r="R89" s="881" t="s">
        <v>452</v>
      </c>
      <c r="S89" s="883"/>
      <c r="T89" s="882" t="s">
        <v>452</v>
      </c>
      <c r="U89" s="881" t="s">
        <v>452</v>
      </c>
      <c r="V89" s="884"/>
      <c r="W89" s="881" t="s">
        <v>452</v>
      </c>
      <c r="X89" s="881" t="s">
        <v>452</v>
      </c>
      <c r="Z89" s="1147"/>
      <c r="AC89" s="1148"/>
      <c r="AD89" s="1149"/>
      <c r="AF89" s="1151"/>
      <c r="AG89" s="1152"/>
      <c r="AH89" s="1152"/>
      <c r="AI89" s="1152"/>
      <c r="AJ89" s="1153"/>
      <c r="AK89" s="1151"/>
      <c r="AL89" s="1152"/>
      <c r="AM89" s="1154"/>
      <c r="AN89" s="1152"/>
      <c r="AO89" s="1152"/>
      <c r="AP89" s="1155"/>
      <c r="AQ89" s="1155"/>
      <c r="AR89" s="1151"/>
      <c r="AS89" s="1152"/>
      <c r="AT89" s="1152"/>
      <c r="AU89" s="1152"/>
      <c r="AV89" s="1153"/>
      <c r="AW89" s="1151"/>
      <c r="AX89" s="1152"/>
      <c r="AY89" s="1154"/>
      <c r="AZ89" s="1152"/>
      <c r="BA89" s="1152"/>
    </row>
    <row r="90" spans="1:53">
      <c r="A90" s="764"/>
      <c r="B90" s="764" t="s">
        <v>1051</v>
      </c>
      <c r="C90" s="896">
        <v>0.23976482998316759</v>
      </c>
      <c r="D90" s="881">
        <v>1.844344846024366E-2</v>
      </c>
      <c r="E90" s="881">
        <v>0.22132138152292394</v>
      </c>
      <c r="F90" s="881" t="s">
        <v>452</v>
      </c>
      <c r="G90" s="883"/>
      <c r="H90" s="882">
        <v>1.3832586345182744E-2</v>
      </c>
      <c r="I90" s="881" t="s">
        <v>452</v>
      </c>
      <c r="J90" s="884"/>
      <c r="K90" s="881" t="s">
        <v>452</v>
      </c>
      <c r="L90" s="881" t="s">
        <v>452</v>
      </c>
      <c r="M90" s="479"/>
      <c r="N90" s="479"/>
      <c r="O90" s="882">
        <v>5.3350867880701367</v>
      </c>
      <c r="P90" s="881">
        <v>0.41039129139001052</v>
      </c>
      <c r="Q90" s="881">
        <v>4.9246954966801271</v>
      </c>
      <c r="R90" s="881" t="s">
        <v>452</v>
      </c>
      <c r="S90" s="883"/>
      <c r="T90" s="882">
        <v>0.30779346854250789</v>
      </c>
      <c r="U90" s="881" t="s">
        <v>452</v>
      </c>
      <c r="V90" s="884"/>
      <c r="W90" s="881" t="s">
        <v>452</v>
      </c>
      <c r="X90" s="881" t="s">
        <v>452</v>
      </c>
      <c r="Z90" s="1147"/>
      <c r="AC90" s="1148"/>
      <c r="AD90" s="1149"/>
      <c r="AF90" s="1151"/>
      <c r="AG90" s="1152"/>
      <c r="AH90" s="1152"/>
      <c r="AI90" s="1152"/>
      <c r="AJ90" s="1153"/>
      <c r="AK90" s="1151"/>
      <c r="AL90" s="1152"/>
      <c r="AM90" s="1154"/>
      <c r="AN90" s="1152"/>
      <c r="AO90" s="1152"/>
      <c r="AP90" s="1155"/>
      <c r="AQ90" s="1155"/>
      <c r="AR90" s="1151"/>
      <c r="AS90" s="1152"/>
      <c r="AT90" s="1152"/>
      <c r="AU90" s="1152"/>
      <c r="AV90" s="1153"/>
      <c r="AW90" s="1151"/>
      <c r="AX90" s="1152"/>
      <c r="AY90" s="1154"/>
      <c r="AZ90" s="1152"/>
      <c r="BA90" s="1152"/>
    </row>
    <row r="91" spans="1:53">
      <c r="A91" s="764"/>
      <c r="B91" s="764" t="s">
        <v>1052</v>
      </c>
      <c r="C91" s="896">
        <v>0.30813150449140214</v>
      </c>
      <c r="D91" s="881">
        <v>0.12022522281398017</v>
      </c>
      <c r="E91" s="881">
        <v>0.18790628167742199</v>
      </c>
      <c r="F91" s="881" t="s">
        <v>452</v>
      </c>
      <c r="G91" s="883"/>
      <c r="H91" s="882">
        <v>2.1748412231183102E-2</v>
      </c>
      <c r="I91" s="881">
        <v>4.3496824462366203E-3</v>
      </c>
      <c r="J91" s="884"/>
      <c r="K91" s="881">
        <v>1.7398729784946481E-2</v>
      </c>
      <c r="L91" s="881" t="s">
        <v>452</v>
      </c>
      <c r="M91" s="479"/>
      <c r="N91" s="479"/>
      <c r="O91" s="882">
        <v>2.00881632790301</v>
      </c>
      <c r="P91" s="881">
        <v>0.78378999581082998</v>
      </c>
      <c r="Q91" s="881">
        <v>1.2250263320921801</v>
      </c>
      <c r="R91" s="881" t="s">
        <v>452</v>
      </c>
      <c r="S91" s="883"/>
      <c r="T91" s="882">
        <v>0.14178545510326157</v>
      </c>
      <c r="U91" s="881">
        <v>2.8357091020652314E-2</v>
      </c>
      <c r="V91" s="884"/>
      <c r="W91" s="881">
        <v>0.11342836408260926</v>
      </c>
      <c r="X91" s="881" t="s">
        <v>452</v>
      </c>
      <c r="Z91" s="1147"/>
      <c r="AC91" s="1148"/>
      <c r="AD91" s="1149"/>
      <c r="AF91" s="1151"/>
      <c r="AG91" s="1152"/>
      <c r="AH91" s="1152"/>
      <c r="AI91" s="1152"/>
      <c r="AJ91" s="1153"/>
      <c r="AK91" s="1151"/>
      <c r="AL91" s="1152"/>
      <c r="AM91" s="1154"/>
      <c r="AN91" s="1152"/>
      <c r="AO91" s="1152"/>
      <c r="AP91" s="1155"/>
      <c r="AQ91" s="1155"/>
      <c r="AR91" s="1151"/>
      <c r="AS91" s="1152"/>
      <c r="AT91" s="1152"/>
      <c r="AU91" s="1152"/>
      <c r="AV91" s="1153"/>
      <c r="AW91" s="1151"/>
      <c r="AX91" s="1152"/>
      <c r="AY91" s="1154"/>
      <c r="AZ91" s="1152"/>
      <c r="BA91" s="1152"/>
    </row>
    <row r="92" spans="1:53">
      <c r="A92" s="764"/>
      <c r="B92" s="764" t="s">
        <v>549</v>
      </c>
      <c r="C92" s="896">
        <v>1.1321361565263992</v>
      </c>
      <c r="D92" s="881">
        <v>0.41490217099973153</v>
      </c>
      <c r="E92" s="881">
        <v>0.71723398552666773</v>
      </c>
      <c r="F92" s="881" t="s">
        <v>452</v>
      </c>
      <c r="G92" s="883"/>
      <c r="H92" s="882">
        <v>5.9361103903259175E-5</v>
      </c>
      <c r="I92" s="881">
        <v>2.4881899839689477E-5</v>
      </c>
      <c r="J92" s="884"/>
      <c r="K92" s="881">
        <v>3.4479204063569698E-5</v>
      </c>
      <c r="L92" s="881" t="s">
        <v>452</v>
      </c>
      <c r="M92" s="479"/>
      <c r="N92" s="479"/>
      <c r="O92" s="882">
        <v>7.1244589204446775</v>
      </c>
      <c r="P92" s="881">
        <v>2.6109522748220551</v>
      </c>
      <c r="Q92" s="881">
        <v>4.5135066456226216</v>
      </c>
      <c r="R92" s="881" t="s">
        <v>452</v>
      </c>
      <c r="S92" s="883"/>
      <c r="T92" s="882">
        <v>4.5185755271281601E-4</v>
      </c>
      <c r="U92" s="881">
        <v>1.8940136940058156E-4</v>
      </c>
      <c r="V92" s="884"/>
      <c r="W92" s="881">
        <v>2.6245618331223442E-4</v>
      </c>
      <c r="X92" s="881" t="s">
        <v>452</v>
      </c>
      <c r="Z92" s="1147"/>
      <c r="AB92" s="1149"/>
      <c r="AC92" s="1149"/>
      <c r="AD92" s="1149"/>
      <c r="AF92" s="1151"/>
      <c r="AG92" s="1152"/>
      <c r="AH92" s="1152"/>
      <c r="AI92" s="1152"/>
      <c r="AJ92" s="1153"/>
      <c r="AK92" s="1151"/>
      <c r="AL92" s="1152"/>
      <c r="AM92" s="1154"/>
      <c r="AN92" s="1152"/>
      <c r="AO92" s="1152"/>
      <c r="AP92" s="1155"/>
      <c r="AQ92" s="1155"/>
      <c r="AR92" s="1151"/>
      <c r="AS92" s="1152"/>
      <c r="AT92" s="1152"/>
      <c r="AU92" s="1152"/>
      <c r="AV92" s="1153"/>
      <c r="AW92" s="1151"/>
      <c r="AX92" s="1152"/>
      <c r="AY92" s="1154"/>
      <c r="AZ92" s="1152"/>
      <c r="BA92" s="1152"/>
    </row>
    <row r="93" spans="1:53">
      <c r="A93" s="764"/>
      <c r="B93" s="764" t="s">
        <v>1053</v>
      </c>
      <c r="C93" s="896">
        <v>2.3628828446554253E-2</v>
      </c>
      <c r="D93" s="881">
        <v>5.1367018362074466E-3</v>
      </c>
      <c r="E93" s="881">
        <v>1.8492126610346805E-2</v>
      </c>
      <c r="F93" s="881">
        <v>3.7037039653427624E-3</v>
      </c>
      <c r="G93" s="883"/>
      <c r="H93" s="882" t="s">
        <v>452</v>
      </c>
      <c r="I93" s="881" t="s">
        <v>452</v>
      </c>
      <c r="J93" s="884"/>
      <c r="K93" s="881" t="s">
        <v>452</v>
      </c>
      <c r="L93" s="881" t="s">
        <v>452</v>
      </c>
      <c r="M93" s="479"/>
      <c r="N93" s="479"/>
      <c r="O93" s="882">
        <v>2.2999999999999998</v>
      </c>
      <c r="P93" s="881">
        <v>0.5</v>
      </c>
      <c r="Q93" s="881">
        <v>1.7999999999999998</v>
      </c>
      <c r="R93" s="881">
        <v>0.36051381639831542</v>
      </c>
      <c r="S93" s="883"/>
      <c r="T93" s="882" t="s">
        <v>452</v>
      </c>
      <c r="U93" s="881" t="s">
        <v>452</v>
      </c>
      <c r="V93" s="884"/>
      <c r="W93" s="881" t="s">
        <v>452</v>
      </c>
      <c r="X93" s="881" t="s">
        <v>452</v>
      </c>
      <c r="Z93" s="1147"/>
      <c r="AC93" s="1148"/>
      <c r="AD93" s="1149"/>
      <c r="AF93" s="1151"/>
      <c r="AG93" s="1152"/>
      <c r="AH93" s="1152"/>
      <c r="AI93" s="1152"/>
      <c r="AJ93" s="1153"/>
      <c r="AK93" s="1151"/>
      <c r="AL93" s="1152"/>
      <c r="AM93" s="1154"/>
      <c r="AN93" s="1152"/>
      <c r="AO93" s="1152"/>
      <c r="AP93" s="1155"/>
      <c r="AQ93" s="1155"/>
      <c r="AR93" s="1151"/>
      <c r="AS93" s="1152"/>
      <c r="AT93" s="1152"/>
      <c r="AU93" s="1152"/>
      <c r="AV93" s="1153"/>
      <c r="AW93" s="1151"/>
      <c r="AX93" s="1152"/>
      <c r="AY93" s="1154"/>
      <c r="AZ93" s="1152"/>
      <c r="BA93" s="1152"/>
    </row>
    <row r="94" spans="1:53">
      <c r="A94" s="764"/>
      <c r="B94" s="764" t="s">
        <v>1054</v>
      </c>
      <c r="C94" s="896">
        <v>2.759078567476394</v>
      </c>
      <c r="D94" s="881">
        <v>0.4123401154116329</v>
      </c>
      <c r="E94" s="881">
        <v>2.3467384520647609</v>
      </c>
      <c r="F94" s="881" t="s">
        <v>452</v>
      </c>
      <c r="G94" s="883"/>
      <c r="H94" s="882" t="s">
        <v>452</v>
      </c>
      <c r="I94" s="881" t="s">
        <v>452</v>
      </c>
      <c r="J94" s="884"/>
      <c r="K94" s="881" t="s">
        <v>452</v>
      </c>
      <c r="L94" s="881" t="s">
        <v>452</v>
      </c>
      <c r="M94" s="479"/>
      <c r="N94" s="479"/>
      <c r="O94" s="882">
        <v>3.5553616255933731</v>
      </c>
      <c r="P94" s="881">
        <v>0.53134341309032151</v>
      </c>
      <c r="Q94" s="881">
        <v>3.024018212503051</v>
      </c>
      <c r="R94" s="881" t="s">
        <v>452</v>
      </c>
      <c r="S94" s="883"/>
      <c r="T94" s="882" t="s">
        <v>452</v>
      </c>
      <c r="U94" s="881" t="s">
        <v>452</v>
      </c>
      <c r="V94" s="884"/>
      <c r="W94" s="881" t="s">
        <v>452</v>
      </c>
      <c r="X94" s="881" t="s">
        <v>452</v>
      </c>
      <c r="Z94" s="1147"/>
      <c r="AC94" s="1148"/>
      <c r="AD94" s="1149"/>
      <c r="AF94" s="1151"/>
      <c r="AG94" s="1152"/>
      <c r="AH94" s="1152"/>
      <c r="AI94" s="1152"/>
      <c r="AJ94" s="1153"/>
      <c r="AK94" s="1151"/>
      <c r="AL94" s="1152"/>
      <c r="AM94" s="1154"/>
      <c r="AN94" s="1152"/>
      <c r="AO94" s="1152"/>
      <c r="AP94" s="1155"/>
      <c r="AQ94" s="1155"/>
      <c r="AR94" s="1151"/>
      <c r="AS94" s="1152"/>
      <c r="AT94" s="1152"/>
      <c r="AU94" s="1152"/>
      <c r="AV94" s="1153"/>
      <c r="AW94" s="1151"/>
      <c r="AX94" s="1152"/>
      <c r="AY94" s="1154"/>
      <c r="AZ94" s="1152"/>
      <c r="BA94" s="1152"/>
    </row>
    <row r="95" spans="1:53">
      <c r="A95" s="764"/>
      <c r="B95" s="764" t="s">
        <v>1055</v>
      </c>
      <c r="C95" s="896">
        <v>1.5159232613908873</v>
      </c>
      <c r="D95" s="881">
        <v>1.0848920863309353</v>
      </c>
      <c r="E95" s="881">
        <v>0.43103117505995209</v>
      </c>
      <c r="F95" s="881">
        <v>0.19952038369304556</v>
      </c>
      <c r="G95" s="883"/>
      <c r="H95" s="882" t="s">
        <v>452</v>
      </c>
      <c r="I95" s="881" t="s">
        <v>452</v>
      </c>
      <c r="J95" s="884"/>
      <c r="K95" s="881" t="s">
        <v>452</v>
      </c>
      <c r="L95" s="881" t="s">
        <v>452</v>
      </c>
      <c r="M95" s="479"/>
      <c r="N95" s="479"/>
      <c r="O95" s="882">
        <v>27.70703520296129</v>
      </c>
      <c r="P95" s="881">
        <v>19.828934612300575</v>
      </c>
      <c r="Q95" s="881">
        <v>7.8781005906607113</v>
      </c>
      <c r="R95" s="881">
        <v>3.6467006183541288</v>
      </c>
      <c r="S95" s="883"/>
      <c r="T95" s="882" t="s">
        <v>452</v>
      </c>
      <c r="U95" s="881" t="s">
        <v>452</v>
      </c>
      <c r="V95" s="884"/>
      <c r="W95" s="881" t="s">
        <v>452</v>
      </c>
      <c r="X95" s="881" t="s">
        <v>452</v>
      </c>
      <c r="Z95" s="1147"/>
      <c r="AC95" s="1148"/>
      <c r="AD95" s="1149"/>
      <c r="AF95" s="1151"/>
      <c r="AG95" s="1152"/>
      <c r="AH95" s="1152"/>
      <c r="AI95" s="1152"/>
      <c r="AJ95" s="1153"/>
      <c r="AK95" s="1151"/>
      <c r="AL95" s="1152"/>
      <c r="AM95" s="1154"/>
      <c r="AN95" s="1152"/>
      <c r="AO95" s="1152"/>
      <c r="AP95" s="1155"/>
      <c r="AQ95" s="1155"/>
      <c r="AR95" s="1151"/>
      <c r="AS95" s="1152"/>
      <c r="AT95" s="1152"/>
      <c r="AU95" s="1152"/>
      <c r="AV95" s="1153"/>
      <c r="AW95" s="1151"/>
      <c r="AX95" s="1152"/>
      <c r="AY95" s="1154"/>
      <c r="AZ95" s="1152"/>
      <c r="BA95" s="1152"/>
    </row>
    <row r="96" spans="1:53">
      <c r="A96" s="764"/>
      <c r="B96" s="764" t="s">
        <v>40</v>
      </c>
      <c r="C96" s="896">
        <v>17.8</v>
      </c>
      <c r="D96" s="881">
        <v>7.7</v>
      </c>
      <c r="E96" s="881">
        <v>10.100000000000001</v>
      </c>
      <c r="F96" s="881" t="s">
        <v>452</v>
      </c>
      <c r="G96" s="883"/>
      <c r="H96" s="882">
        <v>6.5</v>
      </c>
      <c r="I96" s="881" t="s">
        <v>452</v>
      </c>
      <c r="J96" s="884"/>
      <c r="K96" s="881">
        <v>6.5</v>
      </c>
      <c r="L96" s="881" t="s">
        <v>452</v>
      </c>
      <c r="M96" s="479"/>
      <c r="N96" s="479"/>
      <c r="O96" s="882">
        <v>11.5</v>
      </c>
      <c r="P96" s="881">
        <v>4.9000000000000004</v>
      </c>
      <c r="Q96" s="881">
        <v>6.6</v>
      </c>
      <c r="R96" s="881" t="s">
        <v>452</v>
      </c>
      <c r="S96" s="883"/>
      <c r="T96" s="882">
        <v>4.2</v>
      </c>
      <c r="U96" s="881" t="s">
        <v>452</v>
      </c>
      <c r="V96" s="884"/>
      <c r="W96" s="881">
        <v>4.2</v>
      </c>
      <c r="X96" s="881" t="s">
        <v>452</v>
      </c>
      <c r="Z96" s="1147"/>
      <c r="AC96" s="1148"/>
      <c r="AD96" s="1149"/>
      <c r="AF96" s="1151"/>
      <c r="AG96" s="1152"/>
      <c r="AH96" s="1152"/>
      <c r="AI96" s="1152"/>
      <c r="AJ96" s="1153"/>
      <c r="AK96" s="1151"/>
      <c r="AL96" s="1152"/>
      <c r="AM96" s="1154"/>
      <c r="AN96" s="1152"/>
      <c r="AO96" s="1152"/>
      <c r="AP96" s="1155"/>
      <c r="AQ96" s="1155"/>
      <c r="AR96" s="1151"/>
      <c r="AS96" s="1152"/>
      <c r="AT96" s="1152"/>
      <c r="AU96" s="1152"/>
      <c r="AV96" s="1153"/>
      <c r="AW96" s="1151"/>
      <c r="AX96" s="1152"/>
      <c r="AY96" s="1154"/>
      <c r="AZ96" s="1152"/>
      <c r="BA96" s="1152"/>
    </row>
    <row r="97" spans="1:54" s="481" customFormat="1">
      <c r="A97" s="717"/>
      <c r="B97" s="562" t="s">
        <v>28</v>
      </c>
      <c r="C97" s="896">
        <v>35.714285714285715</v>
      </c>
      <c r="D97" s="881">
        <v>14.285714285714286</v>
      </c>
      <c r="E97" s="881">
        <v>21.428571428571427</v>
      </c>
      <c r="F97" s="881">
        <v>40.476190476190474</v>
      </c>
      <c r="G97" s="883"/>
      <c r="H97" s="882" t="s">
        <v>452</v>
      </c>
      <c r="I97" s="881" t="s">
        <v>452</v>
      </c>
      <c r="J97" s="884"/>
      <c r="K97" s="881" t="s">
        <v>452</v>
      </c>
      <c r="L97" s="881" t="s">
        <v>452</v>
      </c>
      <c r="M97" s="479"/>
      <c r="N97" s="479"/>
      <c r="O97" s="882">
        <v>4.2753648489477971</v>
      </c>
      <c r="P97" s="881">
        <v>1.7101459395791188</v>
      </c>
      <c r="Q97" s="881">
        <v>2.5652189093686784</v>
      </c>
      <c r="R97" s="881">
        <v>4.8454134954741699</v>
      </c>
      <c r="S97" s="883"/>
      <c r="T97" s="882"/>
      <c r="U97" s="881" t="s">
        <v>452</v>
      </c>
      <c r="V97" s="884"/>
      <c r="W97" s="881" t="s">
        <v>452</v>
      </c>
      <c r="X97" s="881" t="s">
        <v>452</v>
      </c>
      <c r="Z97" s="1174"/>
      <c r="AA97" s="1165"/>
      <c r="AB97" s="1173"/>
      <c r="AC97" s="1175"/>
      <c r="AD97" s="1176"/>
      <c r="AE97" s="1165"/>
      <c r="AF97" s="1167"/>
      <c r="AG97" s="1168"/>
      <c r="AH97" s="1168"/>
      <c r="AI97" s="1168"/>
      <c r="AJ97" s="1169"/>
      <c r="AK97" s="1167"/>
      <c r="AL97" s="1168"/>
      <c r="AM97" s="1170"/>
      <c r="AN97" s="1168"/>
      <c r="AO97" s="1168"/>
      <c r="AP97" s="1171"/>
      <c r="AQ97" s="1171"/>
      <c r="AR97" s="1167"/>
      <c r="AS97" s="1168"/>
      <c r="AT97" s="1168"/>
      <c r="AU97" s="1168"/>
      <c r="AV97" s="1169"/>
      <c r="AW97" s="1167"/>
      <c r="AX97" s="1168"/>
      <c r="AY97" s="1170"/>
      <c r="AZ97" s="1168"/>
      <c r="BA97" s="1168"/>
      <c r="BB97" s="1165"/>
    </row>
    <row r="98" spans="1:54">
      <c r="A98" s="764"/>
      <c r="B98" s="764" t="s">
        <v>1056</v>
      </c>
      <c r="C98" s="896">
        <v>0.28887876570818538</v>
      </c>
      <c r="D98" s="881">
        <v>3.6949609567326042E-2</v>
      </c>
      <c r="E98" s="881">
        <v>0.25192915614085937</v>
      </c>
      <c r="F98" s="881">
        <v>0</v>
      </c>
      <c r="G98" s="883"/>
      <c r="H98" s="882" t="s">
        <v>452</v>
      </c>
      <c r="I98" s="881">
        <v>0</v>
      </c>
      <c r="J98" s="884"/>
      <c r="K98" s="881">
        <v>0</v>
      </c>
      <c r="L98" s="881">
        <v>0</v>
      </c>
      <c r="M98" s="479"/>
      <c r="N98" s="479"/>
      <c r="O98" s="882">
        <v>0.17044210769576476</v>
      </c>
      <c r="P98" s="881">
        <v>2.1800734705272235E-2</v>
      </c>
      <c r="Q98" s="881">
        <v>0.14864137299049252</v>
      </c>
      <c r="R98" s="881">
        <v>0</v>
      </c>
      <c r="S98" s="883"/>
      <c r="T98" s="882" t="s">
        <v>452</v>
      </c>
      <c r="U98" s="881">
        <v>0</v>
      </c>
      <c r="V98" s="884"/>
      <c r="W98" s="881">
        <v>0</v>
      </c>
      <c r="X98" s="881">
        <v>0</v>
      </c>
      <c r="Z98" s="1147"/>
      <c r="AC98" s="1148"/>
      <c r="AD98" s="1149"/>
      <c r="AF98" s="1151"/>
      <c r="AG98" s="1152"/>
      <c r="AH98" s="1152"/>
      <c r="AI98" s="1152"/>
      <c r="AJ98" s="1153"/>
      <c r="AK98" s="1151"/>
      <c r="AL98" s="1152"/>
      <c r="AM98" s="1154"/>
      <c r="AN98" s="1152"/>
      <c r="AO98" s="1152"/>
      <c r="AP98" s="1155"/>
      <c r="AQ98" s="1155"/>
      <c r="AR98" s="1151"/>
      <c r="AS98" s="1152"/>
      <c r="AT98" s="1152"/>
      <c r="AU98" s="1152"/>
      <c r="AV98" s="1153"/>
      <c r="AW98" s="1151"/>
      <c r="AX98" s="1152"/>
      <c r="AY98" s="1154"/>
      <c r="AZ98" s="1152"/>
      <c r="BA98" s="1152"/>
    </row>
    <row r="99" spans="1:54">
      <c r="A99" s="764"/>
      <c r="B99" s="764" t="s">
        <v>1057</v>
      </c>
      <c r="C99" s="896">
        <v>0.18157499647456088</v>
      </c>
      <c r="D99" s="881">
        <v>8.3803844526720392E-2</v>
      </c>
      <c r="E99" s="881">
        <v>9.7771151947840487E-2</v>
      </c>
      <c r="F99" s="881" t="s">
        <v>452</v>
      </c>
      <c r="G99" s="883"/>
      <c r="H99" s="882" t="s">
        <v>452</v>
      </c>
      <c r="I99" s="881" t="s">
        <v>452</v>
      </c>
      <c r="J99" s="884"/>
      <c r="K99" s="881" t="s">
        <v>452</v>
      </c>
      <c r="L99" s="881" t="s">
        <v>452</v>
      </c>
      <c r="M99" s="479"/>
      <c r="N99" s="479"/>
      <c r="O99" s="882">
        <v>1.3</v>
      </c>
      <c r="P99" s="881">
        <v>0.6</v>
      </c>
      <c r="Q99" s="881">
        <v>0.70000000000000007</v>
      </c>
      <c r="R99" s="881" t="s">
        <v>452</v>
      </c>
      <c r="S99" s="883"/>
      <c r="T99" s="882" t="s">
        <v>452</v>
      </c>
      <c r="U99" s="881" t="s">
        <v>452</v>
      </c>
      <c r="V99" s="884"/>
      <c r="W99" s="881" t="s">
        <v>452</v>
      </c>
      <c r="X99" s="881" t="s">
        <v>452</v>
      </c>
      <c r="Z99" s="1147"/>
      <c r="AC99" s="1148"/>
      <c r="AD99" s="1149"/>
      <c r="AF99" s="1151"/>
      <c r="AG99" s="1152"/>
      <c r="AH99" s="1152"/>
      <c r="AI99" s="1152"/>
      <c r="AJ99" s="1153"/>
      <c r="AK99" s="1151"/>
      <c r="AL99" s="1152"/>
      <c r="AM99" s="1154"/>
      <c r="AN99" s="1152"/>
      <c r="AO99" s="1152"/>
      <c r="AP99" s="1155"/>
      <c r="AQ99" s="1155"/>
      <c r="AR99" s="1151"/>
      <c r="AS99" s="1152"/>
      <c r="AT99" s="1152"/>
      <c r="AU99" s="1152"/>
      <c r="AV99" s="1153"/>
      <c r="AW99" s="1151"/>
      <c r="AX99" s="1152"/>
      <c r="AY99" s="1154"/>
      <c r="AZ99" s="1152"/>
      <c r="BA99" s="1152"/>
    </row>
    <row r="100" spans="1:54">
      <c r="A100" s="764"/>
      <c r="B100" s="764" t="s">
        <v>1058</v>
      </c>
      <c r="C100" s="896">
        <v>0.69111559999999961</v>
      </c>
      <c r="D100" s="881">
        <v>0.32440119999999983</v>
      </c>
      <c r="E100" s="881">
        <v>0.36671439999999983</v>
      </c>
      <c r="F100" s="881" t="s">
        <v>452</v>
      </c>
      <c r="G100" s="883"/>
      <c r="H100" s="882">
        <v>0.7757419999999996</v>
      </c>
      <c r="I100" s="881">
        <v>7.0521999999999974E-2</v>
      </c>
      <c r="J100" s="884"/>
      <c r="K100" s="881" t="s">
        <v>452</v>
      </c>
      <c r="L100" s="881">
        <v>0.70521999999999962</v>
      </c>
      <c r="M100" s="479"/>
      <c r="N100" s="479"/>
      <c r="O100" s="882">
        <v>1.5793578474649836</v>
      </c>
      <c r="P100" s="881">
        <v>0.7413312345243801</v>
      </c>
      <c r="Q100" s="881">
        <v>0.83802661294060354</v>
      </c>
      <c r="R100" s="881" t="s">
        <v>452</v>
      </c>
      <c r="S100" s="883"/>
      <c r="T100" s="882">
        <v>1.7727486042974305</v>
      </c>
      <c r="U100" s="881">
        <v>0.16115896402703914</v>
      </c>
      <c r="V100" s="884"/>
      <c r="W100" s="881" t="s">
        <v>452</v>
      </c>
      <c r="X100" s="881">
        <v>1.6115896402703913</v>
      </c>
      <c r="Z100" s="1147"/>
      <c r="AC100" s="1148"/>
      <c r="AD100" s="1149"/>
      <c r="AF100" s="1151"/>
      <c r="AG100" s="1152"/>
      <c r="AH100" s="1152"/>
      <c r="AI100" s="1152"/>
      <c r="AJ100" s="1153"/>
      <c r="AK100" s="1151"/>
      <c r="AL100" s="1152"/>
      <c r="AM100" s="1154"/>
      <c r="AN100" s="1152"/>
      <c r="AO100" s="1152"/>
      <c r="AP100" s="1155"/>
      <c r="AQ100" s="1155"/>
      <c r="AR100" s="1151"/>
      <c r="AS100" s="1152"/>
      <c r="AT100" s="1152"/>
      <c r="AU100" s="1152"/>
      <c r="AV100" s="1153"/>
      <c r="AW100" s="1151"/>
      <c r="AX100" s="1152"/>
      <c r="AY100" s="1154"/>
      <c r="AZ100" s="1152"/>
      <c r="BA100" s="1152"/>
    </row>
    <row r="101" spans="1:54">
      <c r="A101" s="764"/>
      <c r="B101" s="764" t="s">
        <v>35</v>
      </c>
      <c r="C101" s="896">
        <v>9.4151074374828561</v>
      </c>
      <c r="D101" s="881">
        <v>1.203525822126795</v>
      </c>
      <c r="E101" s="881">
        <v>8.2115816153560601</v>
      </c>
      <c r="F101" s="881">
        <v>0.48431622620796583</v>
      </c>
      <c r="G101" s="883"/>
      <c r="H101" s="882">
        <v>4.8843291413073349</v>
      </c>
      <c r="I101" s="881">
        <v>0</v>
      </c>
      <c r="J101" s="884"/>
      <c r="K101" s="881" t="s">
        <v>452</v>
      </c>
      <c r="L101" s="881">
        <v>4.8843291413073349</v>
      </c>
      <c r="M101" s="479"/>
      <c r="N101" s="479"/>
      <c r="O101" s="882">
        <v>5.4981978129390923</v>
      </c>
      <c r="P101" s="881">
        <v>0.70283032742559903</v>
      </c>
      <c r="Q101" s="881">
        <v>4.7953674855134931</v>
      </c>
      <c r="R101" s="881">
        <v>0.28282910560386276</v>
      </c>
      <c r="S101" s="883"/>
      <c r="T101" s="882">
        <v>2.8523315300149559</v>
      </c>
      <c r="U101" s="881">
        <v>0</v>
      </c>
      <c r="V101" s="884"/>
      <c r="W101" s="881" t="s">
        <v>452</v>
      </c>
      <c r="X101" s="881">
        <v>2.8523315300149559</v>
      </c>
      <c r="Z101" s="1147"/>
      <c r="AC101" s="1148"/>
      <c r="AD101" s="1149"/>
      <c r="AF101" s="1151"/>
      <c r="AG101" s="1152"/>
      <c r="AH101" s="1152"/>
      <c r="AI101" s="1152"/>
      <c r="AJ101" s="1153"/>
      <c r="AK101" s="1151"/>
      <c r="AL101" s="1152"/>
      <c r="AM101" s="1154"/>
      <c r="AN101" s="1152"/>
      <c r="AO101" s="1152"/>
      <c r="AP101" s="1155"/>
      <c r="AQ101" s="1155"/>
      <c r="AR101" s="1151"/>
      <c r="AS101" s="1152"/>
      <c r="AT101" s="1152"/>
      <c r="AU101" s="1152"/>
      <c r="AV101" s="1153"/>
      <c r="AW101" s="1151"/>
      <c r="AX101" s="1152"/>
      <c r="AY101" s="1154"/>
      <c r="AZ101" s="1152"/>
      <c r="BA101" s="1152"/>
    </row>
    <row r="102" spans="1:54">
      <c r="A102" s="562"/>
      <c r="B102" s="562" t="s">
        <v>970</v>
      </c>
      <c r="C102" s="896">
        <v>0.95867676185770645</v>
      </c>
      <c r="D102" s="881">
        <v>9.2443830607707417E-2</v>
      </c>
      <c r="E102" s="881">
        <v>0.86623293124999901</v>
      </c>
      <c r="F102" s="881" t="s">
        <v>452</v>
      </c>
      <c r="G102" s="883"/>
      <c r="H102" s="882">
        <v>-7.4720856505440394E-11</v>
      </c>
      <c r="I102" s="881">
        <v>-7.4720856505440394E-11</v>
      </c>
      <c r="J102" s="884"/>
      <c r="K102" s="881" t="s">
        <v>452</v>
      </c>
      <c r="L102" s="881" t="s">
        <v>452</v>
      </c>
      <c r="M102" s="479"/>
      <c r="N102" s="479"/>
      <c r="O102" s="882">
        <v>12.321579453270983</v>
      </c>
      <c r="P102" s="881">
        <v>1.1881523044225593</v>
      </c>
      <c r="Q102" s="881">
        <v>11.133427148848424</v>
      </c>
      <c r="R102" s="881" t="s">
        <v>452</v>
      </c>
      <c r="S102" s="883"/>
      <c r="T102" s="882">
        <v>-9.6036433433952105E-10</v>
      </c>
      <c r="U102" s="881">
        <v>-9.6036433433952105E-10</v>
      </c>
      <c r="V102" s="884"/>
      <c r="W102" s="881" t="s">
        <v>452</v>
      </c>
      <c r="X102" s="881" t="s">
        <v>452</v>
      </c>
      <c r="Z102" s="1147"/>
      <c r="AB102" s="1172"/>
      <c r="AC102" s="1148"/>
      <c r="AD102" s="1149"/>
      <c r="AF102" s="1151"/>
      <c r="AG102" s="1152"/>
      <c r="AH102" s="1152"/>
      <c r="AI102" s="1152"/>
      <c r="AJ102" s="1153"/>
      <c r="AK102" s="1151"/>
      <c r="AL102" s="1152"/>
      <c r="AM102" s="1154"/>
      <c r="AN102" s="1152"/>
      <c r="AO102" s="1152"/>
      <c r="AP102" s="1155"/>
      <c r="AQ102" s="1155"/>
      <c r="AR102" s="1151"/>
      <c r="AS102" s="1152"/>
      <c r="AT102" s="1152"/>
      <c r="AU102" s="1152"/>
      <c r="AV102" s="1153"/>
      <c r="AW102" s="1151"/>
      <c r="AX102" s="1152"/>
      <c r="AY102" s="1154"/>
      <c r="AZ102" s="1152"/>
      <c r="BA102" s="1152"/>
    </row>
    <row r="103" spans="1:54">
      <c r="A103" s="764"/>
      <c r="B103" s="764" t="s">
        <v>1059</v>
      </c>
      <c r="C103" s="896">
        <v>1.632743045989721</v>
      </c>
      <c r="D103" s="881" t="s">
        <v>452</v>
      </c>
      <c r="E103" s="881" t="s">
        <v>452</v>
      </c>
      <c r="F103" s="881" t="s">
        <v>452</v>
      </c>
      <c r="G103" s="883"/>
      <c r="H103" s="882" t="s">
        <v>452</v>
      </c>
      <c r="I103" s="881" t="s">
        <v>452</v>
      </c>
      <c r="J103" s="884"/>
      <c r="K103" s="881" t="s">
        <v>452</v>
      </c>
      <c r="L103" s="881" t="s">
        <v>452</v>
      </c>
      <c r="M103" s="479"/>
      <c r="N103" s="479"/>
      <c r="O103" s="882">
        <v>1.5410684997582063</v>
      </c>
      <c r="P103" s="881" t="s">
        <v>452</v>
      </c>
      <c r="Q103" s="881" t="s">
        <v>452</v>
      </c>
      <c r="R103" s="881" t="s">
        <v>452</v>
      </c>
      <c r="S103" s="883"/>
      <c r="T103" s="882" t="s">
        <v>452</v>
      </c>
      <c r="U103" s="881" t="s">
        <v>452</v>
      </c>
      <c r="V103" s="884"/>
      <c r="W103" s="881" t="s">
        <v>452</v>
      </c>
      <c r="X103" s="881" t="s">
        <v>452</v>
      </c>
      <c r="Z103" s="1147"/>
      <c r="AC103" s="1148"/>
      <c r="AD103" s="1149"/>
      <c r="AF103" s="1151"/>
      <c r="AG103" s="1152"/>
      <c r="AH103" s="1152"/>
      <c r="AI103" s="1152"/>
      <c r="AJ103" s="1153"/>
      <c r="AK103" s="1151"/>
      <c r="AL103" s="1152"/>
      <c r="AM103" s="1154"/>
      <c r="AN103" s="1152"/>
      <c r="AO103" s="1152"/>
      <c r="AP103" s="1155"/>
      <c r="AQ103" s="1155"/>
      <c r="AR103" s="1151"/>
      <c r="AS103" s="1152"/>
      <c r="AT103" s="1152"/>
      <c r="AU103" s="1152"/>
      <c r="AV103" s="1153"/>
      <c r="AW103" s="1151"/>
      <c r="AX103" s="1152"/>
      <c r="AY103" s="1154"/>
      <c r="AZ103" s="1152"/>
      <c r="BA103" s="1152"/>
    </row>
    <row r="104" spans="1:54">
      <c r="A104" s="764"/>
      <c r="B104" s="764" t="s">
        <v>1060</v>
      </c>
      <c r="C104" s="896" t="s">
        <v>452</v>
      </c>
      <c r="D104" s="881" t="s">
        <v>452</v>
      </c>
      <c r="E104" s="881" t="s">
        <v>452</v>
      </c>
      <c r="F104" s="881" t="s">
        <v>452</v>
      </c>
      <c r="G104" s="883"/>
      <c r="H104" s="882" t="s">
        <v>452</v>
      </c>
      <c r="I104" s="881" t="s">
        <v>452</v>
      </c>
      <c r="J104" s="884"/>
      <c r="K104" s="881" t="s">
        <v>452</v>
      </c>
      <c r="L104" s="881" t="s">
        <v>452</v>
      </c>
      <c r="M104" s="479"/>
      <c r="N104" s="479"/>
      <c r="O104" s="882" t="s">
        <v>452</v>
      </c>
      <c r="P104" s="881" t="s">
        <v>452</v>
      </c>
      <c r="Q104" s="881" t="s">
        <v>452</v>
      </c>
      <c r="R104" s="881" t="s">
        <v>452</v>
      </c>
      <c r="S104" s="883"/>
      <c r="T104" s="882" t="s">
        <v>452</v>
      </c>
      <c r="U104" s="881" t="s">
        <v>452</v>
      </c>
      <c r="V104" s="884"/>
      <c r="W104" s="881" t="s">
        <v>452</v>
      </c>
      <c r="X104" s="881" t="s">
        <v>452</v>
      </c>
      <c r="Z104" s="1147"/>
      <c r="AC104" s="1148"/>
      <c r="AD104" s="1149"/>
      <c r="AF104" s="1151"/>
      <c r="AG104" s="1152"/>
      <c r="AH104" s="1152"/>
      <c r="AI104" s="1152"/>
      <c r="AJ104" s="1153"/>
      <c r="AK104" s="1151"/>
      <c r="AL104" s="1152"/>
      <c r="AM104" s="1154"/>
      <c r="AN104" s="1152"/>
      <c r="AO104" s="1152"/>
      <c r="AP104" s="1155"/>
      <c r="AQ104" s="1155"/>
      <c r="AR104" s="1151"/>
      <c r="AS104" s="1152"/>
      <c r="AT104" s="1152"/>
      <c r="AU104" s="1152"/>
      <c r="AV104" s="1153"/>
      <c r="AW104" s="1151"/>
      <c r="AX104" s="1152"/>
      <c r="AY104" s="1154"/>
      <c r="AZ104" s="1152"/>
      <c r="BA104" s="1152"/>
    </row>
    <row r="105" spans="1:54">
      <c r="A105" s="764"/>
      <c r="B105" s="764" t="s">
        <v>1061</v>
      </c>
      <c r="C105" s="896">
        <v>0.92249999999999999</v>
      </c>
      <c r="D105" s="881" t="s">
        <v>452</v>
      </c>
      <c r="E105" s="881" t="s">
        <v>452</v>
      </c>
      <c r="F105" s="881" t="s">
        <v>452</v>
      </c>
      <c r="G105" s="883"/>
      <c r="H105" s="882" t="s">
        <v>452</v>
      </c>
      <c r="I105" s="881" t="s">
        <v>452</v>
      </c>
      <c r="J105" s="884"/>
      <c r="K105" s="881" t="s">
        <v>452</v>
      </c>
      <c r="L105" s="881" t="s">
        <v>452</v>
      </c>
      <c r="M105" s="479"/>
      <c r="N105" s="479"/>
      <c r="O105" s="882">
        <v>4.2305999999999999</v>
      </c>
      <c r="P105" s="881" t="s">
        <v>452</v>
      </c>
      <c r="Q105" s="881" t="s">
        <v>452</v>
      </c>
      <c r="R105" s="881" t="s">
        <v>452</v>
      </c>
      <c r="S105" s="883"/>
      <c r="T105" s="882" t="s">
        <v>452</v>
      </c>
      <c r="U105" s="881" t="s">
        <v>452</v>
      </c>
      <c r="V105" s="884"/>
      <c r="W105" s="881" t="s">
        <v>452</v>
      </c>
      <c r="X105" s="881" t="s">
        <v>452</v>
      </c>
      <c r="Z105" s="1147"/>
      <c r="AC105" s="1148"/>
      <c r="AD105" s="1149"/>
      <c r="AF105" s="1151"/>
      <c r="AG105" s="1152"/>
      <c r="AH105" s="1152"/>
      <c r="AI105" s="1152"/>
      <c r="AJ105" s="1153"/>
      <c r="AK105" s="1151"/>
      <c r="AL105" s="1152"/>
      <c r="AM105" s="1154"/>
      <c r="AN105" s="1152"/>
      <c r="AO105" s="1152"/>
      <c r="AP105" s="1155"/>
      <c r="AQ105" s="1155"/>
      <c r="AR105" s="1151"/>
      <c r="AS105" s="1152"/>
      <c r="AT105" s="1152"/>
      <c r="AU105" s="1152"/>
      <c r="AV105" s="1153"/>
      <c r="AW105" s="1151"/>
      <c r="AX105" s="1152"/>
      <c r="AY105" s="1154"/>
      <c r="AZ105" s="1152"/>
      <c r="BA105" s="1152"/>
    </row>
    <row r="106" spans="1:54">
      <c r="A106" s="764"/>
      <c r="B106" s="764" t="s">
        <v>24</v>
      </c>
      <c r="C106" s="896">
        <v>20.958814877519181</v>
      </c>
      <c r="D106" s="881">
        <v>0.78506344036110443</v>
      </c>
      <c r="E106" s="881">
        <v>20.173751437158078</v>
      </c>
      <c r="F106" s="881">
        <v>0</v>
      </c>
      <c r="G106" s="883"/>
      <c r="H106" s="882">
        <v>11.894900611531886</v>
      </c>
      <c r="I106" s="881">
        <v>0</v>
      </c>
      <c r="J106" s="884"/>
      <c r="K106" s="881">
        <v>11.894900611531886</v>
      </c>
      <c r="L106" s="881" t="s">
        <v>452</v>
      </c>
      <c r="M106" s="479"/>
      <c r="N106" s="479"/>
      <c r="O106" s="882">
        <v>6.219094242925868</v>
      </c>
      <c r="P106" s="881">
        <v>0.23295131670437419</v>
      </c>
      <c r="Q106" s="881">
        <v>5.9861429262214934</v>
      </c>
      <c r="R106" s="881">
        <v>0</v>
      </c>
      <c r="S106" s="883"/>
      <c r="T106" s="882">
        <v>3.5295654046117302</v>
      </c>
      <c r="U106" s="881">
        <v>0</v>
      </c>
      <c r="V106" s="884"/>
      <c r="W106" s="881">
        <v>3.5295654046117302</v>
      </c>
      <c r="X106" s="881" t="s">
        <v>452</v>
      </c>
      <c r="Z106" s="1147"/>
      <c r="AC106" s="1148"/>
      <c r="AD106" s="1149"/>
      <c r="AF106" s="1151"/>
      <c r="AG106" s="1152"/>
      <c r="AH106" s="1152"/>
      <c r="AI106" s="1152"/>
      <c r="AJ106" s="1153"/>
      <c r="AK106" s="1151"/>
      <c r="AL106" s="1152"/>
      <c r="AM106" s="1154"/>
      <c r="AN106" s="1152"/>
      <c r="AO106" s="1152"/>
      <c r="AP106" s="1155"/>
      <c r="AQ106" s="1155"/>
      <c r="AR106" s="1151"/>
      <c r="AS106" s="1152"/>
      <c r="AT106" s="1152"/>
      <c r="AU106" s="1152"/>
      <c r="AV106" s="1153"/>
      <c r="AW106" s="1151"/>
      <c r="AX106" s="1152"/>
      <c r="AY106" s="1154"/>
      <c r="AZ106" s="1152"/>
      <c r="BA106" s="1152"/>
    </row>
    <row r="107" spans="1:54">
      <c r="A107" s="562"/>
      <c r="B107" s="562" t="s">
        <v>1062</v>
      </c>
      <c r="C107" s="896">
        <v>0.3</v>
      </c>
      <c r="D107" s="881">
        <v>0.1</v>
      </c>
      <c r="E107" s="881">
        <v>0.19999999999999998</v>
      </c>
      <c r="F107" s="881" t="s">
        <v>452</v>
      </c>
      <c r="G107" s="883"/>
      <c r="H107" s="882" t="s">
        <v>452</v>
      </c>
      <c r="I107" s="881" t="s">
        <v>452</v>
      </c>
      <c r="J107" s="884"/>
      <c r="K107" s="881" t="s">
        <v>452</v>
      </c>
      <c r="L107" s="881" t="s">
        <v>452</v>
      </c>
      <c r="M107" s="479"/>
      <c r="N107" s="479"/>
      <c r="O107" s="882">
        <v>8</v>
      </c>
      <c r="P107" s="881">
        <v>2.8</v>
      </c>
      <c r="Q107" s="881">
        <v>5.2</v>
      </c>
      <c r="R107" s="881" t="s">
        <v>452</v>
      </c>
      <c r="S107" s="883"/>
      <c r="T107" s="882" t="s">
        <v>452</v>
      </c>
      <c r="U107" s="881" t="s">
        <v>452</v>
      </c>
      <c r="V107" s="884"/>
      <c r="W107" s="881" t="s">
        <v>452</v>
      </c>
      <c r="X107" s="881" t="s">
        <v>452</v>
      </c>
      <c r="Z107" s="1147"/>
      <c r="AB107" s="1172"/>
      <c r="AC107" s="1148"/>
      <c r="AD107" s="1149"/>
      <c r="AF107" s="1151"/>
      <c r="AG107" s="1152"/>
      <c r="AH107" s="1152"/>
      <c r="AI107" s="1152"/>
      <c r="AJ107" s="1153"/>
      <c r="AK107" s="1151"/>
      <c r="AL107" s="1152"/>
      <c r="AM107" s="1154"/>
      <c r="AN107" s="1152"/>
      <c r="AO107" s="1152"/>
      <c r="AP107" s="1155"/>
      <c r="AQ107" s="1155"/>
      <c r="AR107" s="1151"/>
      <c r="AS107" s="1152"/>
      <c r="AT107" s="1152"/>
      <c r="AU107" s="1152"/>
      <c r="AV107" s="1153"/>
      <c r="AW107" s="1151"/>
      <c r="AX107" s="1152"/>
      <c r="AY107" s="1154"/>
      <c r="AZ107" s="1152"/>
      <c r="BA107" s="1152"/>
    </row>
    <row r="108" spans="1:54">
      <c r="A108" s="562"/>
      <c r="B108" s="562" t="s">
        <v>1662</v>
      </c>
      <c r="C108" s="896">
        <v>0.06</v>
      </c>
      <c r="D108" s="881">
        <v>0.02</v>
      </c>
      <c r="E108" s="881">
        <v>3.9999999999999994E-2</v>
      </c>
      <c r="F108" s="881" t="s">
        <v>452</v>
      </c>
      <c r="G108" s="883"/>
      <c r="H108" s="882" t="s">
        <v>452</v>
      </c>
      <c r="I108" s="881" t="s">
        <v>452</v>
      </c>
      <c r="J108" s="884"/>
      <c r="K108" s="881" t="s">
        <v>452</v>
      </c>
      <c r="L108" s="881" t="s">
        <v>452</v>
      </c>
      <c r="M108" s="479"/>
      <c r="N108" s="479"/>
      <c r="O108" s="882">
        <v>24.625171850966677</v>
      </c>
      <c r="P108" s="881">
        <v>8.2083906169888916</v>
      </c>
      <c r="Q108" s="881">
        <v>16.41678123397778</v>
      </c>
      <c r="R108" s="881" t="s">
        <v>452</v>
      </c>
      <c r="S108" s="883"/>
      <c r="T108" s="882" t="s">
        <v>452</v>
      </c>
      <c r="U108" s="881" t="s">
        <v>452</v>
      </c>
      <c r="V108" s="884"/>
      <c r="W108" s="881" t="s">
        <v>452</v>
      </c>
      <c r="X108" s="881" t="s">
        <v>452</v>
      </c>
      <c r="Z108" s="1147"/>
      <c r="AB108" s="1172"/>
      <c r="AC108" s="1148"/>
      <c r="AD108" s="1149"/>
      <c r="AF108" s="1151"/>
      <c r="AG108" s="1152"/>
      <c r="AH108" s="1152"/>
      <c r="AI108" s="1152"/>
      <c r="AJ108" s="1153"/>
      <c r="AK108" s="1151"/>
      <c r="AL108" s="1152"/>
      <c r="AM108" s="1154"/>
      <c r="AN108" s="1152"/>
      <c r="AO108" s="1152"/>
      <c r="AP108" s="1155"/>
      <c r="AQ108" s="1155"/>
      <c r="AR108" s="1151"/>
      <c r="AS108" s="1152"/>
      <c r="AT108" s="1152"/>
      <c r="AU108" s="1152"/>
      <c r="AV108" s="1153"/>
      <c r="AW108" s="1151"/>
      <c r="AX108" s="1152"/>
      <c r="AY108" s="1154"/>
      <c r="AZ108" s="1152"/>
      <c r="BA108" s="1152"/>
    </row>
    <row r="109" spans="1:54">
      <c r="A109" s="764"/>
      <c r="B109" s="764" t="s">
        <v>92</v>
      </c>
      <c r="C109" s="896">
        <v>0.99880719208951563</v>
      </c>
      <c r="D109" s="881">
        <v>3.3039423656905105E-2</v>
      </c>
      <c r="E109" s="881">
        <v>0.96576776843261058</v>
      </c>
      <c r="F109" s="881" t="s">
        <v>452</v>
      </c>
      <c r="G109" s="883"/>
      <c r="H109" s="882">
        <v>4.0460586509071472</v>
      </c>
      <c r="I109" s="881">
        <v>0.36089216609850183</v>
      </c>
      <c r="J109" s="884"/>
      <c r="K109" s="881" t="s">
        <v>452</v>
      </c>
      <c r="L109" s="881">
        <v>3.6851664848086458</v>
      </c>
      <c r="M109" s="479"/>
      <c r="N109" s="479"/>
      <c r="O109" s="882">
        <v>9.1999999999999993</v>
      </c>
      <c r="P109" s="881">
        <v>0.30432569974554707</v>
      </c>
      <c r="Q109" s="881">
        <v>8.895674300254452</v>
      </c>
      <c r="R109" s="881" t="s">
        <v>452</v>
      </c>
      <c r="S109" s="883"/>
      <c r="T109" s="882">
        <v>37.268193384223913</v>
      </c>
      <c r="U109" s="881">
        <v>3.3241730279898221</v>
      </c>
      <c r="V109" s="884"/>
      <c r="W109" s="881" t="s">
        <v>452</v>
      </c>
      <c r="X109" s="881">
        <v>33.944020356234091</v>
      </c>
      <c r="Z109" s="1147"/>
      <c r="AC109" s="1148"/>
      <c r="AD109" s="1149"/>
      <c r="AF109" s="1151"/>
      <c r="AG109" s="1152"/>
      <c r="AH109" s="1152"/>
      <c r="AI109" s="1152"/>
      <c r="AJ109" s="1153"/>
      <c r="AK109" s="1151"/>
      <c r="AL109" s="1152"/>
      <c r="AM109" s="1154"/>
      <c r="AN109" s="1152"/>
      <c r="AO109" s="1152"/>
      <c r="AP109" s="1155"/>
      <c r="AQ109" s="1155"/>
      <c r="AR109" s="1151"/>
      <c r="AS109" s="1152"/>
      <c r="AT109" s="1152"/>
      <c r="AU109" s="1152"/>
      <c r="AV109" s="1153"/>
      <c r="AW109" s="1151"/>
      <c r="AX109" s="1152"/>
      <c r="AY109" s="1154"/>
      <c r="AZ109" s="1152"/>
      <c r="BA109" s="1152"/>
    </row>
    <row r="110" spans="1:54">
      <c r="A110" s="764"/>
      <c r="B110" s="764" t="s">
        <v>1063</v>
      </c>
      <c r="C110" s="896">
        <v>0.08</v>
      </c>
      <c r="D110" s="881">
        <v>0.02</v>
      </c>
      <c r="E110" s="881">
        <v>0.06</v>
      </c>
      <c r="F110" s="881" t="s">
        <v>452</v>
      </c>
      <c r="G110" s="883"/>
      <c r="H110" s="882" t="s">
        <v>452</v>
      </c>
      <c r="I110" s="881" t="s">
        <v>452</v>
      </c>
      <c r="J110" s="884"/>
      <c r="K110" s="881" t="s">
        <v>452</v>
      </c>
      <c r="L110" s="881" t="s">
        <v>452</v>
      </c>
      <c r="M110" s="479"/>
      <c r="N110" s="479"/>
      <c r="O110" s="882">
        <v>19.640369448844972</v>
      </c>
      <c r="P110" s="881">
        <v>4.9100923622112429</v>
      </c>
      <c r="Q110" s="881">
        <v>14.730277086633729</v>
      </c>
      <c r="R110" s="881" t="s">
        <v>452</v>
      </c>
      <c r="S110" s="883"/>
      <c r="T110" s="882" t="s">
        <v>452</v>
      </c>
      <c r="U110" s="881" t="s">
        <v>452</v>
      </c>
      <c r="V110" s="884"/>
      <c r="W110" s="881" t="s">
        <v>452</v>
      </c>
      <c r="X110" s="881" t="s">
        <v>452</v>
      </c>
      <c r="Z110" s="1147"/>
      <c r="AC110" s="1148"/>
      <c r="AD110" s="1149"/>
      <c r="AF110" s="1151"/>
      <c r="AG110" s="1152"/>
      <c r="AH110" s="1152"/>
      <c r="AI110" s="1152"/>
      <c r="AJ110" s="1153"/>
      <c r="AK110" s="1151"/>
      <c r="AL110" s="1152"/>
      <c r="AM110" s="1154"/>
      <c r="AN110" s="1152"/>
      <c r="AO110" s="1152"/>
      <c r="AP110" s="1155"/>
      <c r="AQ110" s="1155"/>
      <c r="AR110" s="1151"/>
      <c r="AS110" s="1152"/>
      <c r="AT110" s="1152"/>
      <c r="AU110" s="1152"/>
      <c r="AV110" s="1153"/>
      <c r="AW110" s="1151"/>
      <c r="AX110" s="1152"/>
      <c r="AY110" s="1154"/>
      <c r="AZ110" s="1152"/>
      <c r="BA110" s="1152"/>
    </row>
    <row r="111" spans="1:54">
      <c r="A111" s="764"/>
      <c r="B111" s="764" t="s">
        <v>25</v>
      </c>
      <c r="C111" s="896">
        <v>1.6</v>
      </c>
      <c r="D111" s="881">
        <v>0.2</v>
      </c>
      <c r="E111" s="881">
        <v>1.4000000000000001</v>
      </c>
      <c r="F111" s="881" t="s">
        <v>452</v>
      </c>
      <c r="G111" s="883"/>
      <c r="H111" s="882">
        <v>0.9</v>
      </c>
      <c r="I111" s="881">
        <v>0</v>
      </c>
      <c r="J111" s="884"/>
      <c r="K111" s="881">
        <v>0</v>
      </c>
      <c r="L111" s="881">
        <v>0.9</v>
      </c>
      <c r="M111" s="479"/>
      <c r="N111" s="479"/>
      <c r="O111" s="882">
        <v>12</v>
      </c>
      <c r="P111" s="881">
        <v>1.2</v>
      </c>
      <c r="Q111" s="881">
        <v>10.8</v>
      </c>
      <c r="R111" s="881" t="s">
        <v>452</v>
      </c>
      <c r="S111" s="883"/>
      <c r="T111" s="882">
        <v>6.5</v>
      </c>
      <c r="U111" s="881">
        <v>0.3</v>
      </c>
      <c r="V111" s="884"/>
      <c r="W111" s="881">
        <v>0</v>
      </c>
      <c r="X111" s="881">
        <v>6.2</v>
      </c>
      <c r="Z111" s="1147"/>
      <c r="AC111" s="1148"/>
      <c r="AD111" s="1149"/>
      <c r="AF111" s="1151"/>
      <c r="AG111" s="1152"/>
      <c r="AH111" s="1152"/>
      <c r="AI111" s="1152"/>
      <c r="AJ111" s="1153"/>
      <c r="AK111" s="1151"/>
      <c r="AL111" s="1152"/>
      <c r="AM111" s="1154"/>
      <c r="AN111" s="1152"/>
      <c r="AO111" s="1152"/>
      <c r="AP111" s="1155"/>
      <c r="AQ111" s="1155"/>
      <c r="AR111" s="1151"/>
      <c r="AS111" s="1152"/>
      <c r="AT111" s="1152"/>
      <c r="AU111" s="1152"/>
      <c r="AV111" s="1153"/>
      <c r="AW111" s="1151"/>
      <c r="AX111" s="1152"/>
      <c r="AY111" s="1154"/>
      <c r="AZ111" s="1152"/>
      <c r="BA111" s="1152"/>
    </row>
    <row r="112" spans="1:54">
      <c r="A112" s="764"/>
      <c r="B112" s="764" t="s">
        <v>1064</v>
      </c>
      <c r="C112" s="896">
        <v>0.36299999999999999</v>
      </c>
      <c r="D112" s="881">
        <v>1.9E-2</v>
      </c>
      <c r="E112" s="881">
        <v>0.34399999999999997</v>
      </c>
      <c r="F112" s="881">
        <v>0.25108200905797018</v>
      </c>
      <c r="G112" s="883"/>
      <c r="H112" s="882">
        <v>0.26600000000000001</v>
      </c>
      <c r="I112" s="881">
        <v>0.26100000000000001</v>
      </c>
      <c r="J112" s="884"/>
      <c r="K112" s="881" t="s">
        <v>452</v>
      </c>
      <c r="L112" s="881">
        <v>5.0000000000000001E-3</v>
      </c>
      <c r="M112" s="479"/>
      <c r="N112" s="479"/>
      <c r="O112" s="882">
        <v>7.6</v>
      </c>
      <c r="P112" s="881">
        <v>0.4</v>
      </c>
      <c r="Q112" s="881">
        <v>7.1999999999999993</v>
      </c>
      <c r="R112" s="881">
        <v>5.2465847118337194</v>
      </c>
      <c r="S112" s="883"/>
      <c r="T112" s="882">
        <v>5.6</v>
      </c>
      <c r="U112" s="881">
        <v>5.5</v>
      </c>
      <c r="V112" s="884"/>
      <c r="W112" s="881" t="s">
        <v>452</v>
      </c>
      <c r="X112" s="881">
        <v>0.1</v>
      </c>
      <c r="Z112" s="1147"/>
      <c r="AC112" s="1148"/>
      <c r="AD112" s="1149"/>
      <c r="AF112" s="1151"/>
      <c r="AG112" s="1152"/>
      <c r="AH112" s="1152"/>
      <c r="AI112" s="1152"/>
      <c r="AJ112" s="1153"/>
      <c r="AK112" s="1151"/>
      <c r="AL112" s="1152"/>
      <c r="AM112" s="1154"/>
      <c r="AN112" s="1152"/>
      <c r="AO112" s="1152"/>
      <c r="AP112" s="1155"/>
      <c r="AQ112" s="1155"/>
      <c r="AR112" s="1151"/>
      <c r="AS112" s="1152"/>
      <c r="AT112" s="1152"/>
      <c r="AU112" s="1152"/>
      <c r="AV112" s="1153"/>
      <c r="AW112" s="1151"/>
      <c r="AX112" s="1152"/>
      <c r="AY112" s="1154"/>
      <c r="AZ112" s="1152"/>
      <c r="BA112" s="1152"/>
    </row>
    <row r="113" spans="1:53" hidden="1">
      <c r="A113" s="764"/>
      <c r="B113" s="764" t="s">
        <v>1065</v>
      </c>
      <c r="C113" s="882" t="s">
        <v>452</v>
      </c>
      <c r="D113" s="881" t="s">
        <v>452</v>
      </c>
      <c r="E113" s="881" t="s">
        <v>452</v>
      </c>
      <c r="F113" s="881" t="s">
        <v>452</v>
      </c>
      <c r="G113" s="884"/>
      <c r="H113" s="882" t="s">
        <v>452</v>
      </c>
      <c r="I113" s="881" t="s">
        <v>452</v>
      </c>
      <c r="J113" s="884"/>
      <c r="K113" s="881" t="s">
        <v>452</v>
      </c>
      <c r="L113" s="881" t="s">
        <v>452</v>
      </c>
      <c r="M113" s="479"/>
      <c r="N113" s="479"/>
      <c r="O113" s="882" t="s">
        <v>452</v>
      </c>
      <c r="P113" s="881" t="s">
        <v>452</v>
      </c>
      <c r="Q113" s="881" t="s">
        <v>452</v>
      </c>
      <c r="R113" s="881" t="s">
        <v>452</v>
      </c>
      <c r="S113" s="883"/>
      <c r="T113" s="882" t="s">
        <v>452</v>
      </c>
      <c r="U113" s="881" t="s">
        <v>452</v>
      </c>
      <c r="V113" s="884"/>
      <c r="W113" s="881" t="s">
        <v>452</v>
      </c>
      <c r="X113" s="881" t="s">
        <v>452</v>
      </c>
      <c r="Z113" s="1147"/>
      <c r="AC113" s="1148"/>
      <c r="AD113" s="1149"/>
      <c r="AF113" s="1151"/>
      <c r="AG113" s="1152"/>
      <c r="AH113" s="1152"/>
      <c r="AI113" s="1152"/>
      <c r="AJ113" s="1153"/>
      <c r="AK113" s="1151"/>
      <c r="AL113" s="1152"/>
      <c r="AM113" s="1154"/>
      <c r="AN113" s="1152"/>
      <c r="AO113" s="1152"/>
      <c r="AP113" s="1155"/>
      <c r="AQ113" s="1155"/>
      <c r="AR113" s="1151"/>
      <c r="AS113" s="1152"/>
      <c r="AT113" s="1152"/>
      <c r="AU113" s="1152"/>
      <c r="AV113" s="1153"/>
      <c r="AW113" s="1151"/>
      <c r="AX113" s="1152"/>
      <c r="AY113" s="1154"/>
      <c r="AZ113" s="1152"/>
      <c r="BA113" s="1152"/>
    </row>
    <row r="114" spans="1:53">
      <c r="A114" s="764"/>
      <c r="B114" s="764" t="s">
        <v>1066</v>
      </c>
      <c r="C114" s="896">
        <v>2.9</v>
      </c>
      <c r="D114" s="881">
        <v>0.33</v>
      </c>
      <c r="E114" s="881">
        <v>2.57</v>
      </c>
      <c r="F114" s="881" t="s">
        <v>452</v>
      </c>
      <c r="G114" s="883"/>
      <c r="H114" s="882">
        <v>4.7</v>
      </c>
      <c r="I114" s="881" t="s">
        <v>452</v>
      </c>
      <c r="J114" s="884"/>
      <c r="K114" s="881">
        <v>4.7</v>
      </c>
      <c r="L114" s="881" t="s">
        <v>452</v>
      </c>
      <c r="M114" s="479"/>
      <c r="N114" s="479"/>
      <c r="O114" s="882">
        <v>2.4</v>
      </c>
      <c r="P114" s="881">
        <v>0.28000000000000003</v>
      </c>
      <c r="Q114" s="881">
        <v>2.12</v>
      </c>
      <c r="R114" s="881" t="s">
        <v>452</v>
      </c>
      <c r="S114" s="883"/>
      <c r="T114" s="882">
        <v>3.9</v>
      </c>
      <c r="U114" s="881" t="s">
        <v>452</v>
      </c>
      <c r="V114" s="884"/>
      <c r="W114" s="881">
        <v>3.9</v>
      </c>
      <c r="X114" s="881" t="s">
        <v>452</v>
      </c>
      <c r="Z114" s="1147"/>
      <c r="AB114" s="1172"/>
      <c r="AC114" s="1148"/>
      <c r="AD114" s="1149"/>
      <c r="AF114" s="1151"/>
      <c r="AG114" s="1152"/>
      <c r="AH114" s="1152"/>
      <c r="AI114" s="1152"/>
      <c r="AJ114" s="1153"/>
      <c r="AK114" s="1151"/>
      <c r="AL114" s="1152"/>
      <c r="AM114" s="1154"/>
      <c r="AN114" s="1152"/>
      <c r="AO114" s="1152"/>
      <c r="AP114" s="1155"/>
      <c r="AQ114" s="1155"/>
      <c r="AR114" s="1151"/>
      <c r="AS114" s="1152"/>
      <c r="AT114" s="1152"/>
      <c r="AU114" s="1152"/>
      <c r="AV114" s="1153"/>
      <c r="AW114" s="1151"/>
      <c r="AX114" s="1152"/>
      <c r="AY114" s="1154"/>
      <c r="AZ114" s="1152"/>
      <c r="BA114" s="1152"/>
    </row>
    <row r="115" spans="1:53">
      <c r="A115" s="764"/>
      <c r="B115" s="764" t="s">
        <v>1067</v>
      </c>
      <c r="C115" s="896">
        <v>0.15670633253529151</v>
      </c>
      <c r="D115" s="881">
        <v>4.433938866308635E-2</v>
      </c>
      <c r="E115" s="881">
        <v>0.11236694387220514</v>
      </c>
      <c r="F115" s="881">
        <v>0.23080777660236731</v>
      </c>
      <c r="G115" s="883"/>
      <c r="H115" s="882">
        <v>0.13362555487505476</v>
      </c>
      <c r="I115" s="881" t="s">
        <v>452</v>
      </c>
      <c r="J115" s="884"/>
      <c r="K115" s="881">
        <v>0.13362555487505476</v>
      </c>
      <c r="L115" s="881" t="s">
        <v>452</v>
      </c>
      <c r="M115" s="479"/>
      <c r="N115" s="479"/>
      <c r="O115" s="882">
        <v>1.4570301192452924</v>
      </c>
      <c r="P115" s="881">
        <v>0.41226046009653616</v>
      </c>
      <c r="Q115" s="881">
        <v>1.0447696591487561</v>
      </c>
      <c r="R115" s="881">
        <v>2.1460133539271746</v>
      </c>
      <c r="S115" s="883"/>
      <c r="T115" s="882">
        <v>1.2424287838525747</v>
      </c>
      <c r="U115" s="881" t="s">
        <v>452</v>
      </c>
      <c r="V115" s="884"/>
      <c r="W115" s="881">
        <v>1.2424287838525747</v>
      </c>
      <c r="X115" s="881" t="s">
        <v>452</v>
      </c>
      <c r="Z115" s="1147"/>
      <c r="AC115" s="1148"/>
      <c r="AD115" s="1149"/>
      <c r="AF115" s="1151"/>
      <c r="AG115" s="1152"/>
      <c r="AH115" s="1152"/>
      <c r="AI115" s="1152"/>
      <c r="AJ115" s="1153"/>
      <c r="AK115" s="1151"/>
      <c r="AL115" s="1152"/>
      <c r="AM115" s="1154"/>
      <c r="AN115" s="1152"/>
      <c r="AO115" s="1152"/>
      <c r="AP115" s="1155"/>
      <c r="AQ115" s="1155"/>
      <c r="AR115" s="1151"/>
      <c r="AS115" s="1152"/>
      <c r="AT115" s="1152"/>
      <c r="AU115" s="1152"/>
      <c r="AV115" s="1153"/>
      <c r="AW115" s="1151"/>
      <c r="AX115" s="1152"/>
      <c r="AY115" s="1154"/>
      <c r="AZ115" s="1152"/>
      <c r="BA115" s="1152"/>
    </row>
    <row r="116" spans="1:53">
      <c r="A116" s="764"/>
      <c r="B116" s="764" t="s">
        <v>1068</v>
      </c>
      <c r="C116" s="896">
        <v>9.1548817880607574E-3</v>
      </c>
      <c r="D116" s="881">
        <v>9.1548817880607574E-3</v>
      </c>
      <c r="E116" s="881">
        <v>0</v>
      </c>
      <c r="F116" s="881" t="s">
        <v>452</v>
      </c>
      <c r="G116" s="883"/>
      <c r="H116" s="882" t="s">
        <v>452</v>
      </c>
      <c r="I116" s="881" t="s">
        <v>452</v>
      </c>
      <c r="J116" s="884"/>
      <c r="K116" s="881" t="s">
        <v>452</v>
      </c>
      <c r="L116" s="881" t="s">
        <v>452</v>
      </c>
      <c r="M116" s="479"/>
      <c r="N116" s="479"/>
      <c r="O116" s="882">
        <v>8</v>
      </c>
      <c r="P116" s="881">
        <v>8</v>
      </c>
      <c r="Q116" s="881">
        <v>0</v>
      </c>
      <c r="R116" s="881" t="s">
        <v>452</v>
      </c>
      <c r="S116" s="883"/>
      <c r="T116" s="882" t="s">
        <v>452</v>
      </c>
      <c r="U116" s="881" t="s">
        <v>452</v>
      </c>
      <c r="V116" s="884"/>
      <c r="W116" s="881" t="s">
        <v>452</v>
      </c>
      <c r="X116" s="881" t="s">
        <v>452</v>
      </c>
      <c r="Z116" s="1147"/>
      <c r="AC116" s="1148"/>
      <c r="AD116" s="1149"/>
      <c r="AF116" s="1151"/>
      <c r="AG116" s="1152"/>
      <c r="AH116" s="1152"/>
      <c r="AI116" s="1152"/>
      <c r="AJ116" s="1153"/>
      <c r="AK116" s="1151"/>
      <c r="AL116" s="1152"/>
      <c r="AM116" s="1154"/>
      <c r="AN116" s="1152"/>
      <c r="AO116" s="1152"/>
      <c r="AP116" s="1155"/>
      <c r="AQ116" s="1155"/>
      <c r="AR116" s="1151"/>
      <c r="AS116" s="1152"/>
      <c r="AT116" s="1152"/>
      <c r="AU116" s="1152"/>
      <c r="AV116" s="1153"/>
      <c r="AW116" s="1151"/>
      <c r="AX116" s="1152"/>
      <c r="AY116" s="1154"/>
      <c r="AZ116" s="1152"/>
      <c r="BA116" s="1152"/>
    </row>
    <row r="117" spans="1:53">
      <c r="A117" s="764"/>
      <c r="B117" s="764" t="s">
        <v>963</v>
      </c>
      <c r="C117" s="896">
        <v>0.6143669224556243</v>
      </c>
      <c r="D117" s="881">
        <v>7.7721116696193429E-2</v>
      </c>
      <c r="E117" s="881">
        <v>0.53664580575943077</v>
      </c>
      <c r="F117" s="881" t="s">
        <v>452</v>
      </c>
      <c r="G117" s="883"/>
      <c r="H117" s="882">
        <v>0.37047065625185532</v>
      </c>
      <c r="I117" s="881" t="s">
        <v>452</v>
      </c>
      <c r="J117" s="884"/>
      <c r="K117" s="881">
        <v>0.37047065625185532</v>
      </c>
      <c r="L117" s="881" t="s">
        <v>452</v>
      </c>
      <c r="M117" s="479"/>
      <c r="N117" s="479"/>
      <c r="O117" s="882">
        <v>4.9999322298342346</v>
      </c>
      <c r="P117" s="881">
        <v>0.63252154714770437</v>
      </c>
      <c r="Q117" s="881">
        <v>4.36741068268653</v>
      </c>
      <c r="R117" s="881" t="s">
        <v>452</v>
      </c>
      <c r="S117" s="883"/>
      <c r="T117" s="882">
        <v>3.0150193747373906</v>
      </c>
      <c r="U117" s="881" t="s">
        <v>452</v>
      </c>
      <c r="V117" s="884"/>
      <c r="W117" s="881">
        <v>3.0150193747373906</v>
      </c>
      <c r="X117" s="881" t="s">
        <v>452</v>
      </c>
      <c r="Z117" s="1147"/>
      <c r="AC117" s="1148"/>
      <c r="AD117" s="1149"/>
      <c r="AF117" s="1151"/>
      <c r="AG117" s="1152"/>
      <c r="AH117" s="1152"/>
      <c r="AI117" s="1152"/>
      <c r="AJ117" s="1153"/>
      <c r="AK117" s="1151"/>
      <c r="AL117" s="1152"/>
      <c r="AM117" s="1154"/>
      <c r="AN117" s="1152"/>
      <c r="AO117" s="1152"/>
      <c r="AP117" s="1155"/>
      <c r="AQ117" s="1155"/>
      <c r="AR117" s="1151"/>
      <c r="AS117" s="1152"/>
      <c r="AT117" s="1152"/>
      <c r="AU117" s="1152"/>
      <c r="AV117" s="1153"/>
      <c r="AW117" s="1151"/>
      <c r="AX117" s="1152"/>
      <c r="AY117" s="1154"/>
      <c r="AZ117" s="1152"/>
      <c r="BA117" s="1152"/>
    </row>
    <row r="118" spans="1:53">
      <c r="A118" s="764"/>
      <c r="B118" s="764" t="s">
        <v>1070</v>
      </c>
      <c r="C118" s="896">
        <v>0.44</v>
      </c>
      <c r="D118" s="881">
        <v>0</v>
      </c>
      <c r="E118" s="881">
        <v>0.44</v>
      </c>
      <c r="F118" s="881" t="s">
        <v>452</v>
      </c>
      <c r="G118" s="883"/>
      <c r="H118" s="882">
        <v>5.0663198959687905E-2</v>
      </c>
      <c r="I118" s="881" t="s">
        <v>452</v>
      </c>
      <c r="J118" s="884"/>
      <c r="K118" s="881" t="s">
        <v>452</v>
      </c>
      <c r="L118" s="881">
        <v>5.0663198959687905E-2</v>
      </c>
      <c r="M118" s="479"/>
      <c r="N118" s="479"/>
      <c r="O118" s="882">
        <v>0.6</v>
      </c>
      <c r="P118" s="881">
        <v>0</v>
      </c>
      <c r="Q118" s="881">
        <v>0.6</v>
      </c>
      <c r="R118" s="881" t="s">
        <v>452</v>
      </c>
      <c r="S118" s="883"/>
      <c r="T118" s="882" t="s">
        <v>452</v>
      </c>
      <c r="U118" s="881" t="s">
        <v>452</v>
      </c>
      <c r="V118" s="884"/>
      <c r="W118" s="881">
        <v>0</v>
      </c>
      <c r="X118" s="881" t="s">
        <v>452</v>
      </c>
      <c r="Z118" s="1147"/>
      <c r="AC118" s="1148"/>
      <c r="AD118" s="1149"/>
      <c r="AF118" s="1151"/>
      <c r="AG118" s="1152"/>
      <c r="AH118" s="1152"/>
      <c r="AI118" s="1152"/>
      <c r="AJ118" s="1153"/>
      <c r="AK118" s="1151"/>
      <c r="AL118" s="1152"/>
      <c r="AM118" s="1154"/>
      <c r="AN118" s="1152"/>
      <c r="AO118" s="1152"/>
      <c r="AP118" s="1155"/>
      <c r="AQ118" s="1155"/>
      <c r="AR118" s="1151"/>
      <c r="AS118" s="1152"/>
      <c r="AT118" s="1152"/>
      <c r="AU118" s="1152"/>
      <c r="AV118" s="1153"/>
      <c r="AW118" s="1151"/>
      <c r="AX118" s="1152"/>
      <c r="AY118" s="1154"/>
      <c r="AZ118" s="1152"/>
      <c r="BA118" s="1152"/>
    </row>
    <row r="119" spans="1:53">
      <c r="A119" s="764"/>
      <c r="B119" s="764" t="s">
        <v>554</v>
      </c>
      <c r="C119" s="896">
        <v>5.2148375564455147</v>
      </c>
      <c r="D119" s="881">
        <v>1.1210641123759681</v>
      </c>
      <c r="E119" s="881">
        <v>4.0937734440695461</v>
      </c>
      <c r="F119" s="881">
        <v>3.0230942356205883</v>
      </c>
      <c r="G119" s="883"/>
      <c r="H119" s="882" t="s">
        <v>452</v>
      </c>
      <c r="I119" s="881" t="s">
        <v>452</v>
      </c>
      <c r="J119" s="884"/>
      <c r="K119" s="881" t="s">
        <v>452</v>
      </c>
      <c r="L119" s="881" t="s">
        <v>452</v>
      </c>
      <c r="M119" s="479"/>
      <c r="N119" s="479"/>
      <c r="O119" s="882">
        <v>1.9924764282578782</v>
      </c>
      <c r="P119" s="881">
        <v>0.42833430462548588</v>
      </c>
      <c r="Q119" s="881">
        <v>1.5641421236323922</v>
      </c>
      <c r="R119" s="881">
        <v>1.1550587989900742</v>
      </c>
      <c r="S119" s="883"/>
      <c r="T119" s="882" t="s">
        <v>452</v>
      </c>
      <c r="U119" s="881" t="s">
        <v>452</v>
      </c>
      <c r="V119" s="884"/>
      <c r="W119" s="881" t="s">
        <v>452</v>
      </c>
      <c r="X119" s="881" t="s">
        <v>452</v>
      </c>
      <c r="Z119" s="1147"/>
      <c r="AC119" s="1148"/>
      <c r="AD119" s="1149"/>
      <c r="AF119" s="1151"/>
      <c r="AG119" s="1152"/>
      <c r="AH119" s="1152"/>
      <c r="AI119" s="1152"/>
      <c r="AJ119" s="1153"/>
      <c r="AK119" s="1151"/>
      <c r="AL119" s="1152"/>
      <c r="AM119" s="1154"/>
      <c r="AN119" s="1152"/>
      <c r="AO119" s="1152"/>
      <c r="AP119" s="1155"/>
      <c r="AQ119" s="1155"/>
      <c r="AR119" s="1151"/>
      <c r="AS119" s="1152"/>
      <c r="AT119" s="1152"/>
      <c r="AU119" s="1152"/>
      <c r="AV119" s="1153"/>
      <c r="AW119" s="1151"/>
      <c r="AX119" s="1152"/>
      <c r="AY119" s="1154"/>
      <c r="AZ119" s="1152"/>
      <c r="BA119" s="1152"/>
    </row>
    <row r="120" spans="1:53">
      <c r="A120" s="764"/>
      <c r="B120" s="764" t="s">
        <v>1071</v>
      </c>
      <c r="C120" s="896">
        <v>0.02</v>
      </c>
      <c r="D120" s="881">
        <v>0</v>
      </c>
      <c r="E120" s="881">
        <v>0.02</v>
      </c>
      <c r="F120" s="881" t="s">
        <v>452</v>
      </c>
      <c r="G120" s="883"/>
      <c r="H120" s="882" t="s">
        <v>452</v>
      </c>
      <c r="I120" s="881" t="s">
        <v>452</v>
      </c>
      <c r="J120" s="884"/>
      <c r="K120" s="881" t="s">
        <v>452</v>
      </c>
      <c r="L120" s="881" t="s">
        <v>452</v>
      </c>
      <c r="M120" s="479"/>
      <c r="N120" s="479"/>
      <c r="O120" s="882">
        <v>8.1</v>
      </c>
      <c r="P120" s="881">
        <v>0.4</v>
      </c>
      <c r="Q120" s="881">
        <v>7.6999999999999993</v>
      </c>
      <c r="R120" s="881" t="s">
        <v>452</v>
      </c>
      <c r="S120" s="883"/>
      <c r="T120" s="882" t="s">
        <v>452</v>
      </c>
      <c r="U120" s="881" t="s">
        <v>452</v>
      </c>
      <c r="V120" s="884"/>
      <c r="W120" s="881" t="s">
        <v>452</v>
      </c>
      <c r="X120" s="881" t="s">
        <v>452</v>
      </c>
      <c r="Z120" s="1147"/>
      <c r="AC120" s="1148"/>
      <c r="AD120" s="1149"/>
      <c r="AF120" s="1151"/>
      <c r="AG120" s="1152"/>
      <c r="AH120" s="1152"/>
      <c r="AI120" s="1152"/>
      <c r="AJ120" s="1153"/>
      <c r="AK120" s="1151"/>
      <c r="AL120" s="1152"/>
      <c r="AM120" s="1154"/>
      <c r="AN120" s="1152"/>
      <c r="AO120" s="1152"/>
      <c r="AP120" s="1155"/>
      <c r="AQ120" s="1155"/>
      <c r="AR120" s="1151"/>
      <c r="AS120" s="1152"/>
      <c r="AT120" s="1152"/>
      <c r="AU120" s="1152"/>
      <c r="AV120" s="1153"/>
      <c r="AW120" s="1151"/>
      <c r="AX120" s="1152"/>
      <c r="AY120" s="1154"/>
      <c r="AZ120" s="1152"/>
      <c r="BA120" s="1152"/>
    </row>
    <row r="121" spans="1:53">
      <c r="A121" s="764"/>
      <c r="B121" s="764" t="s">
        <v>1072</v>
      </c>
      <c r="C121" s="896">
        <v>1.8</v>
      </c>
      <c r="D121" s="881">
        <v>0.9</v>
      </c>
      <c r="E121" s="881">
        <v>0.9</v>
      </c>
      <c r="F121" s="881" t="s">
        <v>452</v>
      </c>
      <c r="G121" s="883"/>
      <c r="H121" s="882" t="s">
        <v>452</v>
      </c>
      <c r="I121" s="881" t="s">
        <v>452</v>
      </c>
      <c r="J121" s="884"/>
      <c r="K121" s="881" t="s">
        <v>452</v>
      </c>
      <c r="L121" s="881" t="s">
        <v>452</v>
      </c>
      <c r="M121" s="479"/>
      <c r="N121" s="479"/>
      <c r="O121" s="882">
        <v>3.400199242135908</v>
      </c>
      <c r="P121" s="881">
        <v>1.700099621067954</v>
      </c>
      <c r="Q121" s="881">
        <v>1.700099621067954</v>
      </c>
      <c r="R121" s="881" t="s">
        <v>452</v>
      </c>
      <c r="S121" s="883"/>
      <c r="T121" s="882" t="s">
        <v>452</v>
      </c>
      <c r="U121" s="881" t="s">
        <v>452</v>
      </c>
      <c r="V121" s="884"/>
      <c r="W121" s="881" t="s">
        <v>452</v>
      </c>
      <c r="X121" s="881" t="s">
        <v>452</v>
      </c>
      <c r="Z121" s="1147"/>
      <c r="AC121" s="1148"/>
      <c r="AD121" s="1149"/>
      <c r="AF121" s="1151"/>
      <c r="AG121" s="1152"/>
      <c r="AH121" s="1152"/>
      <c r="AI121" s="1152"/>
      <c r="AJ121" s="1153"/>
      <c r="AK121" s="1151"/>
      <c r="AL121" s="1152"/>
      <c r="AM121" s="1154"/>
      <c r="AN121" s="1152"/>
      <c r="AO121" s="1152"/>
      <c r="AP121" s="1155"/>
      <c r="AQ121" s="1155"/>
      <c r="AR121" s="1151"/>
      <c r="AS121" s="1152"/>
      <c r="AT121" s="1152"/>
      <c r="AU121" s="1152"/>
      <c r="AV121" s="1153"/>
      <c r="AW121" s="1151"/>
      <c r="AX121" s="1152"/>
      <c r="AY121" s="1154"/>
      <c r="AZ121" s="1152"/>
      <c r="BA121" s="1152"/>
    </row>
    <row r="122" spans="1:53">
      <c r="A122" s="764"/>
      <c r="B122" s="764" t="s">
        <v>1073</v>
      </c>
      <c r="C122" s="896">
        <v>1.6850000000000001</v>
      </c>
      <c r="D122" s="881">
        <v>0.73499999999999999</v>
      </c>
      <c r="E122" s="881">
        <v>0.95000000000000007</v>
      </c>
      <c r="F122" s="881" t="s">
        <v>452</v>
      </c>
      <c r="G122" s="883"/>
      <c r="H122" s="882">
        <v>0.1</v>
      </c>
      <c r="I122" s="881">
        <v>0</v>
      </c>
      <c r="J122" s="884"/>
      <c r="K122" s="881">
        <v>0.1</v>
      </c>
      <c r="L122" s="881" t="s">
        <v>452</v>
      </c>
      <c r="M122" s="479"/>
      <c r="N122" s="479"/>
      <c r="O122" s="882">
        <v>4.7238176735180701</v>
      </c>
      <c r="P122" s="881">
        <v>2.0605376795464578</v>
      </c>
      <c r="Q122" s="881">
        <v>2.6632799939716123</v>
      </c>
      <c r="R122" s="881" t="s">
        <v>452</v>
      </c>
      <c r="S122" s="883"/>
      <c r="T122" s="882">
        <v>0.28034526252332764</v>
      </c>
      <c r="U122" s="881">
        <v>0</v>
      </c>
      <c r="V122" s="884"/>
      <c r="W122" s="881">
        <v>0.28034526252332764</v>
      </c>
      <c r="X122" s="881" t="s">
        <v>452</v>
      </c>
      <c r="Z122" s="1147"/>
      <c r="AC122" s="1148"/>
      <c r="AD122" s="1149"/>
      <c r="AF122" s="1151"/>
      <c r="AG122" s="1152"/>
      <c r="AH122" s="1152"/>
      <c r="AI122" s="1152"/>
      <c r="AJ122" s="1153"/>
      <c r="AK122" s="1151"/>
      <c r="AL122" s="1152"/>
      <c r="AM122" s="1154"/>
      <c r="AN122" s="1152"/>
      <c r="AO122" s="1152"/>
      <c r="AP122" s="1155"/>
      <c r="AQ122" s="1155"/>
      <c r="AR122" s="1151"/>
      <c r="AS122" s="1152"/>
      <c r="AT122" s="1152"/>
      <c r="AU122" s="1152"/>
      <c r="AV122" s="1153"/>
      <c r="AW122" s="1151"/>
      <c r="AX122" s="1152"/>
      <c r="AY122" s="1154"/>
      <c r="AZ122" s="1152"/>
      <c r="BA122" s="1152"/>
    </row>
    <row r="123" spans="1:53">
      <c r="A123" s="764"/>
      <c r="B123" s="764" t="s">
        <v>555</v>
      </c>
      <c r="C123" s="896">
        <v>19.711394276042082</v>
      </c>
      <c r="D123" s="881">
        <v>3.4452457296794692</v>
      </c>
      <c r="E123" s="881">
        <v>16.266148546362611</v>
      </c>
      <c r="F123" s="881">
        <v>3.4458178870704317</v>
      </c>
      <c r="G123" s="883"/>
      <c r="H123" s="882">
        <v>19.796645727295466</v>
      </c>
      <c r="I123" s="881">
        <v>0</v>
      </c>
      <c r="J123" s="884"/>
      <c r="K123" s="881">
        <v>19.796645727295466</v>
      </c>
      <c r="L123" s="881" t="s">
        <v>452</v>
      </c>
      <c r="M123" s="479"/>
      <c r="N123" s="479"/>
      <c r="O123" s="882">
        <v>9.5938667869694285</v>
      </c>
      <c r="P123" s="881">
        <v>1.6768589839986185</v>
      </c>
      <c r="Q123" s="881">
        <v>7.9170078029708097</v>
      </c>
      <c r="R123" s="881">
        <v>1.6771374626142459</v>
      </c>
      <c r="S123" s="883"/>
      <c r="T123" s="882">
        <v>9.6353601006978682</v>
      </c>
      <c r="U123" s="881">
        <v>0</v>
      </c>
      <c r="V123" s="884"/>
      <c r="W123" s="881">
        <v>9.6353601006978682</v>
      </c>
      <c r="X123" s="881" t="s">
        <v>452</v>
      </c>
      <c r="Z123" s="1147"/>
      <c r="AC123" s="1148"/>
      <c r="AD123" s="1149"/>
      <c r="AF123" s="1151"/>
      <c r="AG123" s="1152"/>
      <c r="AH123" s="1152"/>
      <c r="AI123" s="1152"/>
      <c r="AJ123" s="1153"/>
      <c r="AK123" s="1151"/>
      <c r="AL123" s="1152"/>
      <c r="AM123" s="1154"/>
      <c r="AN123" s="1152"/>
      <c r="AO123" s="1152"/>
      <c r="AP123" s="1155"/>
      <c r="AQ123" s="1155"/>
      <c r="AR123" s="1151"/>
      <c r="AS123" s="1152"/>
      <c r="AT123" s="1152"/>
      <c r="AU123" s="1152"/>
      <c r="AV123" s="1153"/>
      <c r="AW123" s="1151"/>
      <c r="AX123" s="1152"/>
      <c r="AY123" s="1154"/>
      <c r="AZ123" s="1152"/>
      <c r="BA123" s="1152"/>
    </row>
    <row r="124" spans="1:53">
      <c r="A124" s="764"/>
      <c r="B124" s="764" t="s">
        <v>556</v>
      </c>
      <c r="C124" s="896">
        <v>16.101047676431413</v>
      </c>
      <c r="D124" s="881">
        <v>3.2846943319878852</v>
      </c>
      <c r="E124" s="881">
        <v>12.816353344443527</v>
      </c>
      <c r="F124" s="881" t="s">
        <v>452</v>
      </c>
      <c r="G124" s="883"/>
      <c r="H124" s="882">
        <v>2.1159073917713367</v>
      </c>
      <c r="I124" s="881">
        <v>0.10075749484625414</v>
      </c>
      <c r="J124" s="884"/>
      <c r="K124" s="881">
        <v>2.0151498969250827</v>
      </c>
      <c r="L124" s="881" t="s">
        <v>452</v>
      </c>
      <c r="M124" s="479"/>
      <c r="N124" s="479"/>
      <c r="O124" s="882">
        <v>4.4540862311094349</v>
      </c>
      <c r="P124" s="881">
        <v>0.90865588945036024</v>
      </c>
      <c r="Q124" s="881">
        <v>3.545430341659074</v>
      </c>
      <c r="R124" s="881" t="s">
        <v>452</v>
      </c>
      <c r="S124" s="883"/>
      <c r="T124" s="882">
        <v>0.58533048093428119</v>
      </c>
      <c r="U124" s="881">
        <v>2.7872880044489574E-2</v>
      </c>
      <c r="V124" s="884"/>
      <c r="W124" s="881">
        <v>0.55745760088979157</v>
      </c>
      <c r="X124" s="881" t="s">
        <v>452</v>
      </c>
      <c r="Z124" s="1147"/>
      <c r="AC124" s="1148"/>
      <c r="AD124" s="1149"/>
      <c r="AF124" s="1151"/>
      <c r="AG124" s="1152"/>
      <c r="AH124" s="1152"/>
      <c r="AI124" s="1152"/>
      <c r="AJ124" s="1153"/>
      <c r="AK124" s="1151"/>
      <c r="AL124" s="1152"/>
      <c r="AM124" s="1154"/>
      <c r="AN124" s="1152"/>
      <c r="AO124" s="1152"/>
      <c r="AP124" s="1155"/>
      <c r="AQ124" s="1155"/>
      <c r="AR124" s="1151"/>
      <c r="AS124" s="1152"/>
      <c r="AT124" s="1152"/>
      <c r="AU124" s="1152"/>
      <c r="AV124" s="1153"/>
      <c r="AW124" s="1151"/>
      <c r="AX124" s="1152"/>
      <c r="AY124" s="1154"/>
      <c r="AZ124" s="1152"/>
      <c r="BA124" s="1152"/>
    </row>
    <row r="125" spans="1:53">
      <c r="A125" s="764"/>
      <c r="B125" s="764" t="s">
        <v>22</v>
      </c>
      <c r="C125" s="896">
        <v>38.516359409090974</v>
      </c>
      <c r="D125" s="881">
        <v>3.7695771192652283</v>
      </c>
      <c r="E125" s="881">
        <v>34.746782289825745</v>
      </c>
      <c r="F125" s="881" t="s">
        <v>452</v>
      </c>
      <c r="G125" s="883"/>
      <c r="H125" s="882">
        <v>28.720587575354124</v>
      </c>
      <c r="I125" s="881">
        <v>9.7444850702094339</v>
      </c>
      <c r="J125" s="884"/>
      <c r="K125" s="881">
        <v>18.976102505144688</v>
      </c>
      <c r="L125" s="881" t="s">
        <v>452</v>
      </c>
      <c r="M125" s="479"/>
      <c r="N125" s="479"/>
      <c r="O125" s="882">
        <v>6.463386978297736</v>
      </c>
      <c r="P125" s="881">
        <v>0.63256849920756808</v>
      </c>
      <c r="Q125" s="881">
        <v>5.8308184790901691</v>
      </c>
      <c r="R125" s="881" t="s">
        <v>452</v>
      </c>
      <c r="S125" s="883"/>
      <c r="T125" s="882">
        <v>4.8195695177719475</v>
      </c>
      <c r="U125" s="881">
        <v>1.6352110863869107</v>
      </c>
      <c r="V125" s="884"/>
      <c r="W125" s="881">
        <v>3.184358431385037</v>
      </c>
      <c r="X125" s="881" t="s">
        <v>452</v>
      </c>
      <c r="Z125" s="1147"/>
      <c r="AB125" s="1164"/>
      <c r="AC125" s="1148"/>
      <c r="AD125" s="1149"/>
      <c r="AF125" s="1151"/>
      <c r="AG125" s="1152"/>
      <c r="AH125" s="1152"/>
      <c r="AI125" s="1152"/>
      <c r="AJ125" s="1153"/>
      <c r="AK125" s="1151"/>
      <c r="AL125" s="1152"/>
      <c r="AM125" s="1154"/>
      <c r="AN125" s="1152"/>
      <c r="AO125" s="1152"/>
      <c r="AP125" s="1155"/>
      <c r="AQ125" s="1155"/>
      <c r="AR125" s="1151"/>
      <c r="AS125" s="1152"/>
      <c r="AT125" s="1152"/>
      <c r="AU125" s="1152"/>
      <c r="AV125" s="1153"/>
      <c r="AW125" s="1151"/>
      <c r="AX125" s="1152"/>
      <c r="AY125" s="1154"/>
      <c r="AZ125" s="1152"/>
      <c r="BA125" s="1152"/>
    </row>
    <row r="126" spans="1:53">
      <c r="A126" s="764"/>
      <c r="B126" s="562" t="s">
        <v>1074</v>
      </c>
      <c r="C126" s="896">
        <v>1.4</v>
      </c>
      <c r="D126" s="881">
        <v>0.9</v>
      </c>
      <c r="E126" s="881">
        <v>0.49999999999999989</v>
      </c>
      <c r="F126" s="881" t="s">
        <v>452</v>
      </c>
      <c r="G126" s="883"/>
      <c r="H126" s="882">
        <v>1.3736263736263736</v>
      </c>
      <c r="I126" s="881" t="s">
        <v>452</v>
      </c>
      <c r="J126" s="884"/>
      <c r="K126" s="881">
        <v>1.3736263736263736</v>
      </c>
      <c r="L126" s="881" t="s">
        <v>452</v>
      </c>
      <c r="M126" s="479"/>
      <c r="N126" s="479"/>
      <c r="O126" s="882">
        <v>1</v>
      </c>
      <c r="P126" s="881">
        <v>0.6</v>
      </c>
      <c r="Q126" s="881">
        <v>0.4</v>
      </c>
      <c r="R126" s="881" t="s">
        <v>452</v>
      </c>
      <c r="S126" s="883"/>
      <c r="T126" s="882">
        <v>0.94439586052406432</v>
      </c>
      <c r="U126" s="882" t="s">
        <v>452</v>
      </c>
      <c r="V126" s="882"/>
      <c r="W126" s="881">
        <v>0.94439586052406432</v>
      </c>
      <c r="X126" s="882" t="s">
        <v>452</v>
      </c>
      <c r="Z126" s="1147"/>
      <c r="AC126" s="1148"/>
      <c r="AD126" s="1149"/>
      <c r="AF126" s="1151"/>
      <c r="AG126" s="1152"/>
      <c r="AH126" s="1152"/>
      <c r="AI126" s="1152"/>
      <c r="AJ126" s="1153"/>
      <c r="AK126" s="1151"/>
      <c r="AL126" s="1152"/>
      <c r="AM126" s="1154"/>
      <c r="AN126" s="1152"/>
      <c r="AO126" s="1152"/>
      <c r="AP126" s="1155"/>
      <c r="AQ126" s="1155"/>
      <c r="AR126" s="1151"/>
      <c r="AS126" s="1152"/>
      <c r="AT126" s="1152"/>
      <c r="AU126" s="1152"/>
      <c r="AV126" s="1153"/>
      <c r="AW126" s="1151"/>
      <c r="AX126" s="1152"/>
      <c r="AY126" s="1154"/>
      <c r="AZ126" s="1152"/>
      <c r="BA126" s="1152"/>
    </row>
    <row r="127" spans="1:53">
      <c r="A127" s="764"/>
      <c r="B127" s="764" t="s">
        <v>557</v>
      </c>
      <c r="C127" s="896">
        <v>8.4825802752518751</v>
      </c>
      <c r="D127" s="881">
        <v>2.3562722986810765</v>
      </c>
      <c r="E127" s="881">
        <v>6.1263079765707982</v>
      </c>
      <c r="F127" s="881">
        <v>0.54194262869664755</v>
      </c>
      <c r="G127" s="883"/>
      <c r="H127" s="882">
        <v>10.391160837183547</v>
      </c>
      <c r="I127" s="881">
        <v>0.40056629077578298</v>
      </c>
      <c r="J127" s="884"/>
      <c r="K127" s="881">
        <v>9.9905945464077632</v>
      </c>
      <c r="L127" s="881" t="s">
        <v>452</v>
      </c>
      <c r="M127" s="479"/>
      <c r="N127" s="479"/>
      <c r="O127" s="882">
        <v>3.4105481432975906</v>
      </c>
      <c r="P127" s="881">
        <v>0.94737448424933068</v>
      </c>
      <c r="Q127" s="881">
        <v>2.4631736590482598</v>
      </c>
      <c r="R127" s="881">
        <v>0.21789613137734604</v>
      </c>
      <c r="S127" s="883"/>
      <c r="T127" s="882">
        <v>4.1779214755395486</v>
      </c>
      <c r="U127" s="881">
        <v>0.16105366232238622</v>
      </c>
      <c r="V127" s="884"/>
      <c r="W127" s="881">
        <v>4.0168678132171625</v>
      </c>
      <c r="X127" s="881" t="s">
        <v>452</v>
      </c>
      <c r="Z127" s="1147"/>
      <c r="AC127" s="1148"/>
      <c r="AD127" s="1149"/>
      <c r="AF127" s="1151"/>
      <c r="AG127" s="1152"/>
      <c r="AH127" s="1152"/>
      <c r="AI127" s="1152"/>
      <c r="AJ127" s="1153"/>
      <c r="AK127" s="1151"/>
      <c r="AL127" s="1152"/>
      <c r="AM127" s="1154"/>
      <c r="AN127" s="1152"/>
      <c r="AO127" s="1152"/>
      <c r="AP127" s="1155"/>
      <c r="AQ127" s="1155"/>
      <c r="AR127" s="1151"/>
      <c r="AS127" s="1152"/>
      <c r="AT127" s="1152"/>
      <c r="AU127" s="1152"/>
      <c r="AV127" s="1153"/>
      <c r="AW127" s="1151"/>
      <c r="AX127" s="1152"/>
      <c r="AY127" s="1154"/>
      <c r="AZ127" s="1152"/>
      <c r="BA127" s="1152"/>
    </row>
    <row r="128" spans="1:53">
      <c r="A128" s="764"/>
      <c r="B128" s="764" t="s">
        <v>1075</v>
      </c>
      <c r="C128" s="896">
        <v>5.5909549958539889E-2</v>
      </c>
      <c r="D128" s="881">
        <v>7.4546066611386524E-3</v>
      </c>
      <c r="E128" s="881">
        <v>4.8454943297401236E-2</v>
      </c>
      <c r="F128" s="881" t="s">
        <v>452</v>
      </c>
      <c r="G128" s="883"/>
      <c r="H128" s="882">
        <v>2.2363819983415956E-2</v>
      </c>
      <c r="I128" s="881" t="s">
        <v>452</v>
      </c>
      <c r="J128" s="884"/>
      <c r="K128" s="881" t="s">
        <v>452</v>
      </c>
      <c r="L128" s="881">
        <v>2.2363819983415956E-2</v>
      </c>
      <c r="M128" s="479"/>
      <c r="N128" s="479"/>
      <c r="O128" s="882">
        <v>6.9</v>
      </c>
      <c r="P128" s="881">
        <v>1.1000000000000001</v>
      </c>
      <c r="Q128" s="881">
        <v>5.8000000000000007</v>
      </c>
      <c r="R128" s="881">
        <v>2.2965296811763771</v>
      </c>
      <c r="S128" s="883"/>
      <c r="T128" s="882">
        <v>2.7</v>
      </c>
      <c r="U128" s="881" t="s">
        <v>452</v>
      </c>
      <c r="V128" s="884"/>
      <c r="W128" s="881">
        <v>0</v>
      </c>
      <c r="X128" s="881">
        <v>2.7</v>
      </c>
      <c r="Z128" s="1147"/>
      <c r="AC128" s="1148"/>
      <c r="AD128" s="1149"/>
      <c r="AF128" s="1151"/>
      <c r="AG128" s="1152"/>
      <c r="AH128" s="1152"/>
      <c r="AI128" s="1152"/>
      <c r="AJ128" s="1153"/>
      <c r="AK128" s="1151"/>
      <c r="AL128" s="1152"/>
      <c r="AM128" s="1154"/>
      <c r="AN128" s="1152"/>
      <c r="AO128" s="1152"/>
      <c r="AP128" s="1155"/>
      <c r="AQ128" s="1155"/>
      <c r="AR128" s="1151"/>
      <c r="AS128" s="1152"/>
      <c r="AT128" s="1152"/>
      <c r="AU128" s="1152"/>
      <c r="AV128" s="1153"/>
      <c r="AW128" s="1151"/>
      <c r="AX128" s="1152"/>
      <c r="AY128" s="1154"/>
      <c r="AZ128" s="1152"/>
      <c r="BA128" s="1152"/>
    </row>
    <row r="129" spans="1:53">
      <c r="A129" s="764"/>
      <c r="B129" s="764" t="s">
        <v>953</v>
      </c>
      <c r="C129" s="896">
        <v>6.4363979597070609</v>
      </c>
      <c r="D129" s="881">
        <v>1.2116713026556967</v>
      </c>
      <c r="E129" s="881">
        <v>5.2247266570513649</v>
      </c>
      <c r="F129" s="881">
        <v>1.434618822344345</v>
      </c>
      <c r="G129" s="883"/>
      <c r="H129" s="882">
        <v>1.6963398237179754</v>
      </c>
      <c r="I129" s="881" t="s">
        <v>452</v>
      </c>
      <c r="J129" s="884"/>
      <c r="K129" s="881">
        <v>1.6963398237179754</v>
      </c>
      <c r="L129" s="881">
        <v>0</v>
      </c>
      <c r="M129" s="479"/>
      <c r="N129" s="479"/>
      <c r="O129" s="882">
        <v>12.153288105042478</v>
      </c>
      <c r="P129" s="881">
        <v>2.2878930920637197</v>
      </c>
      <c r="Q129" s="881">
        <v>9.8653950129787589</v>
      </c>
      <c r="R129" s="881">
        <v>2.708865421003444</v>
      </c>
      <c r="S129" s="883"/>
      <c r="T129" s="882">
        <v>3.203050328889208</v>
      </c>
      <c r="U129" s="881" t="s">
        <v>452</v>
      </c>
      <c r="V129" s="884"/>
      <c r="W129" s="881">
        <v>3.203050328889208</v>
      </c>
      <c r="X129" s="881">
        <v>0</v>
      </c>
      <c r="Z129" s="1147"/>
      <c r="AC129" s="1148"/>
      <c r="AD129" s="1149"/>
      <c r="AF129" s="1151"/>
      <c r="AG129" s="1152"/>
      <c r="AH129" s="1152"/>
      <c r="AI129" s="1152"/>
      <c r="AJ129" s="1153"/>
      <c r="AK129" s="1151"/>
      <c r="AL129" s="1152"/>
      <c r="AM129" s="1154"/>
      <c r="AN129" s="1152"/>
      <c r="AO129" s="1152"/>
      <c r="AP129" s="1155"/>
      <c r="AQ129" s="1155"/>
      <c r="AR129" s="1151"/>
      <c r="AS129" s="1152"/>
      <c r="AT129" s="1152"/>
      <c r="AU129" s="1152"/>
      <c r="AV129" s="1153"/>
      <c r="AW129" s="1151"/>
      <c r="AX129" s="1152"/>
      <c r="AY129" s="1154"/>
      <c r="AZ129" s="1152"/>
      <c r="BA129" s="1152"/>
    </row>
    <row r="130" spans="1:53">
      <c r="A130" s="764"/>
      <c r="B130" s="764" t="s">
        <v>1076</v>
      </c>
      <c r="C130" s="896">
        <v>7.4431818181818182E-2</v>
      </c>
      <c r="D130" s="881">
        <v>6.2499999999999995E-3</v>
      </c>
      <c r="E130" s="881">
        <v>6.8181818181818177E-2</v>
      </c>
      <c r="F130" s="881">
        <v>2.840909090909091E-3</v>
      </c>
      <c r="G130" s="883"/>
      <c r="H130" s="882" t="s">
        <v>452</v>
      </c>
      <c r="I130" s="881" t="s">
        <v>452</v>
      </c>
      <c r="J130" s="884"/>
      <c r="K130" s="881" t="s">
        <v>452</v>
      </c>
      <c r="L130" s="881" t="s">
        <v>452</v>
      </c>
      <c r="M130" s="479"/>
      <c r="N130" s="479"/>
      <c r="O130" s="882">
        <v>6.5431104225627479</v>
      </c>
      <c r="P130" s="881">
        <v>0.5494214858640476</v>
      </c>
      <c r="Q130" s="881">
        <v>5.9936889366987005</v>
      </c>
      <c r="R130" s="881">
        <v>0.24973703902911254</v>
      </c>
      <c r="S130" s="883"/>
      <c r="T130" s="882" t="s">
        <v>452</v>
      </c>
      <c r="U130" s="881" t="s">
        <v>452</v>
      </c>
      <c r="V130" s="884"/>
      <c r="W130" s="881" t="s">
        <v>452</v>
      </c>
      <c r="X130" s="881" t="s">
        <v>452</v>
      </c>
      <c r="Z130" s="1147"/>
      <c r="AC130" s="1148"/>
      <c r="AD130" s="1149"/>
      <c r="AF130" s="1151"/>
      <c r="AG130" s="1152"/>
      <c r="AH130" s="1152"/>
      <c r="AI130" s="1152"/>
      <c r="AJ130" s="1153"/>
      <c r="AK130" s="1151"/>
      <c r="AL130" s="1152"/>
      <c r="AM130" s="1154"/>
      <c r="AN130" s="1152"/>
      <c r="AO130" s="1152"/>
      <c r="AP130" s="1155"/>
      <c r="AQ130" s="1155"/>
      <c r="AR130" s="1151"/>
      <c r="AS130" s="1152"/>
      <c r="AT130" s="1152"/>
      <c r="AU130" s="1152"/>
      <c r="AV130" s="1153"/>
      <c r="AW130" s="1151"/>
      <c r="AX130" s="1152"/>
      <c r="AY130" s="1154"/>
      <c r="AZ130" s="1152"/>
      <c r="BA130" s="1152"/>
    </row>
    <row r="131" spans="1:53">
      <c r="A131" s="764"/>
      <c r="B131" s="764" t="s">
        <v>1077</v>
      </c>
      <c r="C131" s="896">
        <v>0.918939312277676</v>
      </c>
      <c r="D131" s="881">
        <v>0.25331464913226259</v>
      </c>
      <c r="E131" s="881">
        <v>0.66562466314541346</v>
      </c>
      <c r="F131" s="881" t="s">
        <v>452</v>
      </c>
      <c r="G131" s="883"/>
      <c r="H131" s="882" t="s">
        <v>452</v>
      </c>
      <c r="I131" s="881" t="s">
        <v>452</v>
      </c>
      <c r="J131" s="884"/>
      <c r="K131" s="881" t="s">
        <v>452</v>
      </c>
      <c r="L131" s="881" t="s">
        <v>452</v>
      </c>
      <c r="M131" s="479"/>
      <c r="N131" s="479"/>
      <c r="O131" s="882">
        <v>1.1387168124157399</v>
      </c>
      <c r="P131" s="881">
        <v>0.31389847614979344</v>
      </c>
      <c r="Q131" s="881">
        <v>0.82481833626594647</v>
      </c>
      <c r="R131" s="881" t="s">
        <v>452</v>
      </c>
      <c r="S131" s="883"/>
      <c r="T131" s="882" t="s">
        <v>452</v>
      </c>
      <c r="U131" s="881" t="s">
        <v>452</v>
      </c>
      <c r="V131" s="884"/>
      <c r="W131" s="881" t="s">
        <v>452</v>
      </c>
      <c r="X131" s="881" t="s">
        <v>452</v>
      </c>
      <c r="Z131" s="1147"/>
      <c r="AC131" s="1148"/>
      <c r="AD131" s="1149"/>
      <c r="AF131" s="1151"/>
      <c r="AG131" s="1152"/>
      <c r="AH131" s="1152"/>
      <c r="AI131" s="1152"/>
      <c r="AJ131" s="1153"/>
      <c r="AK131" s="1151"/>
      <c r="AL131" s="1152"/>
      <c r="AM131" s="1154"/>
      <c r="AN131" s="1152"/>
      <c r="AO131" s="1152"/>
      <c r="AP131" s="1155"/>
      <c r="AQ131" s="1155"/>
      <c r="AR131" s="1151"/>
      <c r="AS131" s="1152"/>
      <c r="AT131" s="1152"/>
      <c r="AU131" s="1152"/>
      <c r="AV131" s="1153"/>
      <c r="AW131" s="1151"/>
      <c r="AX131" s="1152"/>
      <c r="AY131" s="1154"/>
      <c r="AZ131" s="1152"/>
      <c r="BA131" s="1152"/>
    </row>
    <row r="132" spans="1:53">
      <c r="A132" s="764"/>
      <c r="B132" s="764" t="s">
        <v>1078</v>
      </c>
      <c r="C132" s="896">
        <v>4.33333333333333E-2</v>
      </c>
      <c r="D132" s="881">
        <v>7.4074074074074068E-3</v>
      </c>
      <c r="E132" s="881">
        <v>3.5925925925925896E-2</v>
      </c>
      <c r="F132" s="881" t="s">
        <v>452</v>
      </c>
      <c r="G132" s="883"/>
      <c r="H132" s="882" t="s">
        <v>452</v>
      </c>
      <c r="I132" s="881" t="s">
        <v>452</v>
      </c>
      <c r="J132" s="884"/>
      <c r="K132" s="881" t="s">
        <v>452</v>
      </c>
      <c r="L132" s="881" t="s">
        <v>452</v>
      </c>
      <c r="M132" s="479"/>
      <c r="N132" s="479"/>
      <c r="O132" s="882">
        <v>3.5</v>
      </c>
      <c r="P132" s="881">
        <v>0.5</v>
      </c>
      <c r="Q132" s="881">
        <v>3</v>
      </c>
      <c r="R132" s="881" t="s">
        <v>452</v>
      </c>
      <c r="S132" s="883"/>
      <c r="T132" s="882" t="s">
        <v>452</v>
      </c>
      <c r="U132" s="881" t="s">
        <v>452</v>
      </c>
      <c r="V132" s="884"/>
      <c r="W132" s="881" t="s">
        <v>452</v>
      </c>
      <c r="X132" s="881" t="s">
        <v>452</v>
      </c>
      <c r="Z132" s="1147"/>
      <c r="AC132" s="1148"/>
      <c r="AD132" s="1149"/>
      <c r="AF132" s="1151"/>
      <c r="AG132" s="1152"/>
      <c r="AH132" s="1152"/>
      <c r="AI132" s="1152"/>
      <c r="AJ132" s="1153"/>
      <c r="AK132" s="1151"/>
      <c r="AL132" s="1152"/>
      <c r="AM132" s="1154"/>
      <c r="AN132" s="1152"/>
      <c r="AO132" s="1152"/>
      <c r="AP132" s="1155"/>
      <c r="AQ132" s="1155"/>
      <c r="AR132" s="1151"/>
      <c r="AS132" s="1152"/>
      <c r="AT132" s="1152"/>
      <c r="AU132" s="1152"/>
      <c r="AV132" s="1153"/>
      <c r="AW132" s="1151"/>
      <c r="AX132" s="1152"/>
      <c r="AY132" s="1154"/>
      <c r="AZ132" s="1152"/>
      <c r="BA132" s="1152"/>
    </row>
    <row r="133" spans="1:53">
      <c r="A133" s="562"/>
      <c r="B133" s="562" t="s">
        <v>1079</v>
      </c>
      <c r="C133" s="896">
        <v>6.2962962962962957E-2</v>
      </c>
      <c r="D133" s="881">
        <v>7.4074074074074068E-3</v>
      </c>
      <c r="E133" s="881">
        <v>5.5555555555555552E-2</v>
      </c>
      <c r="F133" s="881" t="s">
        <v>452</v>
      </c>
      <c r="G133" s="883"/>
      <c r="H133" s="882" t="s">
        <v>452</v>
      </c>
      <c r="I133" s="881" t="s">
        <v>452</v>
      </c>
      <c r="J133" s="884"/>
      <c r="K133" s="881" t="s">
        <v>452</v>
      </c>
      <c r="L133" s="881" t="s">
        <v>452</v>
      </c>
      <c r="M133" s="479"/>
      <c r="N133" s="479"/>
      <c r="O133" s="882">
        <v>3.8943607299688536</v>
      </c>
      <c r="P133" s="881">
        <v>0.45816008587868862</v>
      </c>
      <c r="Q133" s="881">
        <v>3.4362006440901651</v>
      </c>
      <c r="R133" s="881" t="s">
        <v>452</v>
      </c>
      <c r="S133" s="883"/>
      <c r="T133" s="882" t="s">
        <v>452</v>
      </c>
      <c r="U133" s="881" t="s">
        <v>452</v>
      </c>
      <c r="V133" s="884"/>
      <c r="W133" s="881" t="s">
        <v>452</v>
      </c>
      <c r="X133" s="881" t="s">
        <v>452</v>
      </c>
      <c r="Z133" s="1147"/>
      <c r="AB133" s="1172"/>
      <c r="AC133" s="1148"/>
      <c r="AD133" s="1149"/>
      <c r="AF133" s="1151"/>
      <c r="AG133" s="1152"/>
      <c r="AH133" s="1152"/>
      <c r="AI133" s="1152"/>
      <c r="AJ133" s="1153"/>
      <c r="AK133" s="1151"/>
      <c r="AL133" s="1152"/>
      <c r="AM133" s="1154"/>
      <c r="AN133" s="1152"/>
      <c r="AO133" s="1152"/>
      <c r="AP133" s="1155"/>
      <c r="AQ133" s="1155"/>
      <c r="AR133" s="1151"/>
      <c r="AS133" s="1152"/>
      <c r="AT133" s="1152"/>
      <c r="AU133" s="1152"/>
      <c r="AV133" s="1153"/>
      <c r="AW133" s="1151"/>
      <c r="AX133" s="1152"/>
      <c r="AY133" s="1154"/>
      <c r="AZ133" s="1152"/>
      <c r="BA133" s="1152"/>
    </row>
    <row r="134" spans="1:53">
      <c r="A134" s="764"/>
      <c r="B134" s="764" t="s">
        <v>1080</v>
      </c>
      <c r="C134" s="896">
        <v>2.9629629629629627E-2</v>
      </c>
      <c r="D134" s="881">
        <v>3.7037037037037034E-3</v>
      </c>
      <c r="E134" s="881">
        <v>2.5925925925925925E-2</v>
      </c>
      <c r="F134" s="881" t="s">
        <v>452</v>
      </c>
      <c r="G134" s="883"/>
      <c r="H134" s="882" t="s">
        <v>452</v>
      </c>
      <c r="I134" s="881" t="s">
        <v>452</v>
      </c>
      <c r="J134" s="884"/>
      <c r="K134" s="881" t="s">
        <v>452</v>
      </c>
      <c r="L134" s="881" t="s">
        <v>452</v>
      </c>
      <c r="M134" s="479"/>
      <c r="N134" s="479"/>
      <c r="O134" s="882">
        <v>3.6694217908613056</v>
      </c>
      <c r="P134" s="881">
        <v>0.4586777238576632</v>
      </c>
      <c r="Q134" s="881">
        <v>3.2107440670036422</v>
      </c>
      <c r="R134" s="881" t="s">
        <v>452</v>
      </c>
      <c r="S134" s="883"/>
      <c r="T134" s="882" t="s">
        <v>452</v>
      </c>
      <c r="U134" s="881" t="s">
        <v>452</v>
      </c>
      <c r="V134" s="884"/>
      <c r="W134" s="881" t="s">
        <v>452</v>
      </c>
      <c r="X134" s="881" t="s">
        <v>452</v>
      </c>
      <c r="Z134" s="1147"/>
      <c r="AC134" s="1148"/>
      <c r="AD134" s="1149"/>
      <c r="AF134" s="1151"/>
      <c r="AG134" s="1152"/>
      <c r="AH134" s="1152"/>
      <c r="AI134" s="1152"/>
      <c r="AJ134" s="1153"/>
      <c r="AK134" s="1151"/>
      <c r="AL134" s="1152"/>
      <c r="AM134" s="1154"/>
      <c r="AN134" s="1152"/>
      <c r="AO134" s="1152"/>
      <c r="AP134" s="1155"/>
      <c r="AQ134" s="1155"/>
      <c r="AR134" s="1151"/>
      <c r="AS134" s="1152"/>
      <c r="AT134" s="1152"/>
      <c r="AU134" s="1152"/>
      <c r="AV134" s="1153"/>
      <c r="AW134" s="1151"/>
      <c r="AX134" s="1152"/>
      <c r="AY134" s="1154"/>
      <c r="AZ134" s="1152"/>
      <c r="BA134" s="1152"/>
    </row>
    <row r="135" spans="1:53">
      <c r="A135" s="764"/>
      <c r="B135" s="764" t="s">
        <v>559</v>
      </c>
      <c r="C135" s="896">
        <v>73.187651709336336</v>
      </c>
      <c r="D135" s="881" t="s">
        <v>452</v>
      </c>
      <c r="E135" s="881" t="s">
        <v>452</v>
      </c>
      <c r="F135" s="881" t="s">
        <v>452</v>
      </c>
      <c r="G135" s="883"/>
      <c r="H135" s="882">
        <v>21.253182701619505</v>
      </c>
      <c r="I135" s="881">
        <v>2.8763705911966246</v>
      </c>
      <c r="J135" s="884"/>
      <c r="K135" s="881">
        <v>10.386893801543367</v>
      </c>
      <c r="L135" s="881">
        <v>7.9899183088795134</v>
      </c>
      <c r="M135" s="479"/>
      <c r="N135" s="479"/>
      <c r="O135" s="882">
        <v>14.587579816038515</v>
      </c>
      <c r="P135" s="881" t="s">
        <v>452</v>
      </c>
      <c r="Q135" s="881" t="s">
        <v>452</v>
      </c>
      <c r="R135" s="881" t="s">
        <v>452</v>
      </c>
      <c r="S135" s="883"/>
      <c r="T135" s="882">
        <v>4.2361312566225386</v>
      </c>
      <c r="U135" s="881">
        <v>0.57331099713688494</v>
      </c>
      <c r="V135" s="884"/>
      <c r="W135" s="881">
        <v>2.0702897118831953</v>
      </c>
      <c r="X135" s="881">
        <v>1.592530547602458</v>
      </c>
      <c r="Z135" s="1147"/>
      <c r="AC135" s="1148"/>
      <c r="AD135" s="1149"/>
      <c r="AF135" s="1151"/>
      <c r="AG135" s="1152"/>
      <c r="AH135" s="1152"/>
      <c r="AI135" s="1152"/>
      <c r="AJ135" s="1153"/>
      <c r="AK135" s="1151"/>
      <c r="AL135" s="1152"/>
      <c r="AM135" s="1154"/>
      <c r="AN135" s="1152"/>
      <c r="AO135" s="1152"/>
      <c r="AP135" s="1155"/>
      <c r="AQ135" s="1155"/>
      <c r="AR135" s="1151"/>
      <c r="AS135" s="1152"/>
      <c r="AT135" s="1152"/>
      <c r="AU135" s="1152"/>
      <c r="AV135" s="1153"/>
      <c r="AW135" s="1151"/>
      <c r="AX135" s="1152"/>
      <c r="AY135" s="1154"/>
      <c r="AZ135" s="1152"/>
      <c r="BA135" s="1152"/>
    </row>
    <row r="136" spans="1:53">
      <c r="A136" s="764"/>
      <c r="B136" s="764" t="s">
        <v>1081</v>
      </c>
      <c r="C136" s="896">
        <v>3.0926259678155699E-2</v>
      </c>
      <c r="D136" s="881">
        <v>8.8360741937587705E-3</v>
      </c>
      <c r="E136" s="881">
        <v>2.2090185484396931E-2</v>
      </c>
      <c r="F136" s="881" t="s">
        <v>452</v>
      </c>
      <c r="G136" s="883"/>
      <c r="H136" s="882" t="s">
        <v>452</v>
      </c>
      <c r="I136" s="881" t="s">
        <v>452</v>
      </c>
      <c r="J136" s="884"/>
      <c r="K136" s="881" t="s">
        <v>452</v>
      </c>
      <c r="L136" s="881" t="s">
        <v>452</v>
      </c>
      <c r="M136" s="479"/>
      <c r="N136" s="479"/>
      <c r="O136" s="882">
        <v>5.8</v>
      </c>
      <c r="P136" s="881">
        <v>2.1</v>
      </c>
      <c r="Q136" s="881">
        <v>3.6999999999999997</v>
      </c>
      <c r="R136" s="881" t="s">
        <v>452</v>
      </c>
      <c r="S136" s="883"/>
      <c r="T136" s="882" t="s">
        <v>452</v>
      </c>
      <c r="U136" s="881" t="s">
        <v>452</v>
      </c>
      <c r="V136" s="884"/>
      <c r="W136" s="881" t="s">
        <v>452</v>
      </c>
      <c r="X136" s="881" t="s">
        <v>452</v>
      </c>
      <c r="Z136" s="1147"/>
      <c r="AC136" s="1148"/>
      <c r="AD136" s="1149"/>
      <c r="AF136" s="1151"/>
      <c r="AG136" s="1152"/>
      <c r="AH136" s="1152"/>
      <c r="AI136" s="1152"/>
      <c r="AJ136" s="1153"/>
      <c r="AK136" s="1151"/>
      <c r="AL136" s="1152"/>
      <c r="AM136" s="1154"/>
      <c r="AN136" s="1152"/>
      <c r="AO136" s="1152"/>
      <c r="AP136" s="1155"/>
      <c r="AQ136" s="1155"/>
      <c r="AR136" s="1151"/>
      <c r="AS136" s="1152"/>
      <c r="AT136" s="1152"/>
      <c r="AU136" s="1152"/>
      <c r="AV136" s="1153"/>
      <c r="AW136" s="1151"/>
      <c r="AX136" s="1152"/>
      <c r="AY136" s="1154"/>
      <c r="AZ136" s="1152"/>
      <c r="BA136" s="1152"/>
    </row>
    <row r="137" spans="1:53">
      <c r="A137" s="764"/>
      <c r="B137" s="764" t="s">
        <v>1082</v>
      </c>
      <c r="C137" s="896">
        <v>0.56287518052593843</v>
      </c>
      <c r="D137" s="881">
        <v>2.3700007601092147E-2</v>
      </c>
      <c r="E137" s="881">
        <v>0.53917517292484629</v>
      </c>
      <c r="F137" s="881" t="s">
        <v>452</v>
      </c>
      <c r="G137" s="883"/>
      <c r="H137" s="882" t="s">
        <v>452</v>
      </c>
      <c r="I137" s="881" t="s">
        <v>452</v>
      </c>
      <c r="J137" s="884"/>
      <c r="K137" s="881" t="s">
        <v>452</v>
      </c>
      <c r="L137" s="881" t="s">
        <v>452</v>
      </c>
      <c r="M137" s="479"/>
      <c r="N137" s="479"/>
      <c r="O137" s="882">
        <v>2.6074852925920262</v>
      </c>
      <c r="P137" s="881">
        <v>0.10978885442492743</v>
      </c>
      <c r="Q137" s="881">
        <v>2.497696438167099</v>
      </c>
      <c r="R137" s="881" t="s">
        <v>452</v>
      </c>
      <c r="S137" s="883"/>
      <c r="T137" s="882" t="s">
        <v>452</v>
      </c>
      <c r="U137" s="881" t="s">
        <v>452</v>
      </c>
      <c r="V137" s="884"/>
      <c r="W137" s="881" t="s">
        <v>452</v>
      </c>
      <c r="X137" s="881" t="s">
        <v>452</v>
      </c>
      <c r="Z137" s="1147"/>
      <c r="AC137" s="1148"/>
      <c r="AD137" s="1149"/>
      <c r="AF137" s="1151"/>
      <c r="AG137" s="1152"/>
      <c r="AH137" s="1152"/>
      <c r="AI137" s="1152"/>
      <c r="AJ137" s="1153"/>
      <c r="AK137" s="1151"/>
      <c r="AL137" s="1152"/>
      <c r="AM137" s="1154"/>
      <c r="AN137" s="1152"/>
      <c r="AO137" s="1152"/>
      <c r="AP137" s="1155"/>
      <c r="AQ137" s="1155"/>
      <c r="AR137" s="1151"/>
      <c r="AS137" s="1152"/>
      <c r="AT137" s="1152"/>
      <c r="AU137" s="1152"/>
      <c r="AV137" s="1153"/>
      <c r="AW137" s="1151"/>
      <c r="AX137" s="1152"/>
      <c r="AY137" s="1154"/>
      <c r="AZ137" s="1152"/>
      <c r="BA137" s="1152"/>
    </row>
    <row r="138" spans="1:53">
      <c r="A138" s="764"/>
      <c r="B138" s="764" t="s">
        <v>30</v>
      </c>
      <c r="C138" s="896">
        <v>1.0614213919969644</v>
      </c>
      <c r="D138" s="881">
        <v>0.14045609709842577</v>
      </c>
      <c r="E138" s="881">
        <v>0.92096529489853862</v>
      </c>
      <c r="F138" s="881">
        <v>0.1066755167836145</v>
      </c>
      <c r="G138" s="883"/>
      <c r="H138" s="882">
        <v>0.32002655035084349</v>
      </c>
      <c r="I138" s="881">
        <v>0.24890953916176717</v>
      </c>
      <c r="J138" s="884"/>
      <c r="K138" s="881">
        <v>7.1117011189076346E-2</v>
      </c>
      <c r="L138" s="881" t="s">
        <v>452</v>
      </c>
      <c r="M138" s="479"/>
      <c r="N138" s="479"/>
      <c r="O138" s="882">
        <v>2.7063675838678867</v>
      </c>
      <c r="P138" s="881">
        <v>0.35812904376141214</v>
      </c>
      <c r="Q138" s="881">
        <v>2.3482385401064745</v>
      </c>
      <c r="R138" s="881">
        <v>0.27199674209727503</v>
      </c>
      <c r="S138" s="883"/>
      <c r="T138" s="882">
        <v>0.81599022629182516</v>
      </c>
      <c r="U138" s="881">
        <v>0.63465906489364177</v>
      </c>
      <c r="V138" s="884"/>
      <c r="W138" s="881">
        <v>0.18133116139818339</v>
      </c>
      <c r="X138" s="881" t="s">
        <v>452</v>
      </c>
      <c r="Z138" s="1147"/>
      <c r="AC138" s="1148"/>
      <c r="AD138" s="1149"/>
      <c r="AF138" s="1151"/>
      <c r="AG138" s="1152"/>
      <c r="AH138" s="1152"/>
      <c r="AI138" s="1152"/>
      <c r="AJ138" s="1153"/>
      <c r="AK138" s="1151"/>
      <c r="AL138" s="1152"/>
      <c r="AM138" s="1154"/>
      <c r="AN138" s="1152"/>
      <c r="AO138" s="1152"/>
      <c r="AP138" s="1155"/>
      <c r="AQ138" s="1155"/>
      <c r="AR138" s="1151"/>
      <c r="AS138" s="1152"/>
      <c r="AT138" s="1152"/>
      <c r="AU138" s="1152"/>
      <c r="AV138" s="1153"/>
      <c r="AW138" s="1151"/>
      <c r="AX138" s="1152"/>
      <c r="AY138" s="1154"/>
      <c r="AZ138" s="1152"/>
      <c r="BA138" s="1152"/>
    </row>
    <row r="139" spans="1:53">
      <c r="A139" s="764"/>
      <c r="B139" s="764" t="s">
        <v>1083</v>
      </c>
      <c r="C139" s="896">
        <v>1.1428571428571429E-2</v>
      </c>
      <c r="D139" s="881">
        <v>1.1428571428571429E-2</v>
      </c>
      <c r="E139" s="881">
        <v>0</v>
      </c>
      <c r="F139" s="881" t="s">
        <v>452</v>
      </c>
      <c r="G139" s="883"/>
      <c r="H139" s="882">
        <v>1.1428571428571429E-2</v>
      </c>
      <c r="I139" s="881">
        <v>1.1428571428571429E-2</v>
      </c>
      <c r="J139" s="884"/>
      <c r="K139" s="881" t="s">
        <v>452</v>
      </c>
      <c r="L139" s="881" t="s">
        <v>452</v>
      </c>
      <c r="M139" s="479"/>
      <c r="N139" s="479"/>
      <c r="O139" s="882">
        <v>2.5057923503650562E-2</v>
      </c>
      <c r="P139" s="881">
        <v>2.5057923503650562E-2</v>
      </c>
      <c r="Q139" s="881">
        <v>0</v>
      </c>
      <c r="R139" s="881" t="s">
        <v>452</v>
      </c>
      <c r="S139" s="883"/>
      <c r="T139" s="882">
        <v>2.5057923503650562E-2</v>
      </c>
      <c r="U139" s="881">
        <v>2.5057923503650562E-2</v>
      </c>
      <c r="V139" s="884"/>
      <c r="W139" s="881" t="s">
        <v>452</v>
      </c>
      <c r="X139" s="881" t="s">
        <v>452</v>
      </c>
      <c r="Z139" s="1147"/>
      <c r="AC139" s="1148"/>
      <c r="AD139" s="1149"/>
      <c r="AF139" s="1151"/>
      <c r="AG139" s="1152"/>
      <c r="AH139" s="1152"/>
      <c r="AI139" s="1152"/>
      <c r="AJ139" s="1153"/>
      <c r="AK139" s="1151"/>
      <c r="AL139" s="1152"/>
      <c r="AM139" s="1154"/>
      <c r="AN139" s="1152"/>
      <c r="AO139" s="1152"/>
      <c r="AP139" s="1155"/>
      <c r="AQ139" s="1155"/>
      <c r="AR139" s="1151"/>
      <c r="AS139" s="1152"/>
      <c r="AT139" s="1152"/>
      <c r="AU139" s="1152"/>
      <c r="AV139" s="1153"/>
      <c r="AW139" s="1151"/>
      <c r="AX139" s="1152"/>
      <c r="AY139" s="1154"/>
      <c r="AZ139" s="1152"/>
      <c r="BA139" s="1152"/>
    </row>
    <row r="140" spans="1:53">
      <c r="A140" s="764"/>
      <c r="B140" s="764" t="s">
        <v>1250</v>
      </c>
      <c r="C140" s="896">
        <v>6.9042244149570406E-3</v>
      </c>
      <c r="D140" s="881">
        <v>0</v>
      </c>
      <c r="E140" s="881">
        <v>6.9042244149570406E-3</v>
      </c>
      <c r="F140" s="881">
        <v>6.9042244149570406E-3</v>
      </c>
      <c r="G140" s="883"/>
      <c r="H140" s="882" t="s">
        <v>452</v>
      </c>
      <c r="I140" s="881" t="s">
        <v>452</v>
      </c>
      <c r="J140" s="884"/>
      <c r="K140" s="881" t="s">
        <v>452</v>
      </c>
      <c r="L140" s="881" t="s">
        <v>452</v>
      </c>
      <c r="M140" s="479"/>
      <c r="N140" s="479"/>
      <c r="O140" s="882">
        <v>12.555192867305207</v>
      </c>
      <c r="P140" s="881">
        <v>0</v>
      </c>
      <c r="Q140" s="881">
        <v>12.555192867305207</v>
      </c>
      <c r="R140" s="881">
        <v>12.555192867305207</v>
      </c>
      <c r="S140" s="883"/>
      <c r="T140" s="882" t="s">
        <v>452</v>
      </c>
      <c r="U140" s="881" t="s">
        <v>452</v>
      </c>
      <c r="V140" s="884"/>
      <c r="W140" s="881" t="s">
        <v>452</v>
      </c>
      <c r="X140" s="881" t="s">
        <v>452</v>
      </c>
      <c r="Z140" s="1147"/>
      <c r="AC140" s="1148"/>
      <c r="AD140" s="1149"/>
      <c r="AF140" s="1151"/>
      <c r="AG140" s="1152"/>
      <c r="AH140" s="1152"/>
      <c r="AI140" s="1152"/>
      <c r="AJ140" s="1153"/>
      <c r="AK140" s="1151"/>
      <c r="AL140" s="1152"/>
      <c r="AM140" s="1154"/>
      <c r="AN140" s="1152"/>
      <c r="AO140" s="1152"/>
      <c r="AP140" s="1155"/>
      <c r="AQ140" s="1155"/>
      <c r="AR140" s="1151"/>
      <c r="AS140" s="1152"/>
      <c r="AT140" s="1152"/>
      <c r="AU140" s="1152"/>
      <c r="AV140" s="1153"/>
      <c r="AW140" s="1151"/>
      <c r="AX140" s="1152"/>
      <c r="AY140" s="1154"/>
      <c r="AZ140" s="1152"/>
      <c r="BA140" s="1152"/>
    </row>
    <row r="141" spans="1:53">
      <c r="A141" s="764"/>
      <c r="B141" s="764" t="s">
        <v>1084</v>
      </c>
      <c r="C141" s="896">
        <v>5.2719285298025849</v>
      </c>
      <c r="D141" s="881">
        <v>1.8968569270969242</v>
      </c>
      <c r="E141" s="881">
        <v>3.3750716027056606</v>
      </c>
      <c r="F141" s="881" t="s">
        <v>452</v>
      </c>
      <c r="G141" s="883"/>
      <c r="H141" s="882">
        <v>2.15</v>
      </c>
      <c r="I141" s="881" t="s">
        <v>452</v>
      </c>
      <c r="J141" s="884"/>
      <c r="K141" s="881">
        <v>2.15</v>
      </c>
      <c r="L141" s="881" t="s">
        <v>452</v>
      </c>
      <c r="M141" s="479"/>
      <c r="N141" s="479"/>
      <c r="O141" s="882">
        <v>3.4788380974508817</v>
      </c>
      <c r="P141" s="881">
        <v>1.2516971931797973</v>
      </c>
      <c r="Q141" s="881">
        <v>2.2271409042710841</v>
      </c>
      <c r="R141" s="881" t="s">
        <v>452</v>
      </c>
      <c r="S141" s="883"/>
      <c r="T141" s="882">
        <v>1.39</v>
      </c>
      <c r="U141" s="881" t="s">
        <v>452</v>
      </c>
      <c r="V141" s="884"/>
      <c r="W141" s="881">
        <v>1.39</v>
      </c>
      <c r="X141" s="881" t="s">
        <v>452</v>
      </c>
      <c r="Z141" s="1147"/>
      <c r="AC141" s="1148"/>
      <c r="AD141" s="1149"/>
      <c r="AF141" s="1151"/>
      <c r="AG141" s="1152"/>
      <c r="AH141" s="1152"/>
      <c r="AI141" s="1152"/>
      <c r="AJ141" s="1153"/>
      <c r="AK141" s="1151"/>
      <c r="AL141" s="1152"/>
      <c r="AM141" s="1154"/>
      <c r="AN141" s="1152"/>
      <c r="AO141" s="1152"/>
      <c r="AP141" s="1155"/>
      <c r="AQ141" s="1155"/>
      <c r="AR141" s="1151"/>
      <c r="AS141" s="1152"/>
      <c r="AT141" s="1152"/>
      <c r="AU141" s="1152"/>
      <c r="AV141" s="1153"/>
      <c r="AW141" s="1151"/>
      <c r="AX141" s="1152"/>
      <c r="AY141" s="1154"/>
      <c r="AZ141" s="1152"/>
      <c r="BA141" s="1152"/>
    </row>
    <row r="142" spans="1:53">
      <c r="A142" s="764"/>
      <c r="B142" s="562" t="s">
        <v>56</v>
      </c>
      <c r="C142" s="896">
        <v>8.7134104833219883</v>
      </c>
      <c r="D142" s="881" t="s">
        <v>452</v>
      </c>
      <c r="E142" s="881" t="s">
        <v>452</v>
      </c>
      <c r="F142" s="881" t="s">
        <v>452</v>
      </c>
      <c r="G142" s="883"/>
      <c r="H142" s="882" t="s">
        <v>452</v>
      </c>
      <c r="I142" s="881" t="s">
        <v>452</v>
      </c>
      <c r="J142" s="884"/>
      <c r="K142" s="881" t="s">
        <v>452</v>
      </c>
      <c r="L142" s="881" t="s">
        <v>452</v>
      </c>
      <c r="M142" s="479"/>
      <c r="N142" s="479"/>
      <c r="O142" s="882">
        <v>2.4280205714042915</v>
      </c>
      <c r="P142" s="881" t="s">
        <v>452</v>
      </c>
      <c r="Q142" s="881" t="s">
        <v>452</v>
      </c>
      <c r="R142" s="881" t="s">
        <v>452</v>
      </c>
      <c r="S142" s="883"/>
      <c r="T142" s="882" t="s">
        <v>452</v>
      </c>
      <c r="U142" s="881" t="s">
        <v>452</v>
      </c>
      <c r="V142" s="884"/>
      <c r="W142" s="881" t="s">
        <v>452</v>
      </c>
      <c r="X142" s="881" t="s">
        <v>452</v>
      </c>
      <c r="Z142" s="1147"/>
      <c r="AC142" s="1148"/>
      <c r="AD142" s="1149"/>
      <c r="AF142" s="1151"/>
      <c r="AG142" s="1152"/>
      <c r="AH142" s="1152"/>
      <c r="AI142" s="1152"/>
      <c r="AJ142" s="1153"/>
      <c r="AK142" s="1151"/>
      <c r="AL142" s="1152"/>
      <c r="AM142" s="1154"/>
      <c r="AN142" s="1152"/>
      <c r="AO142" s="1152"/>
      <c r="AP142" s="1155"/>
      <c r="AQ142" s="1155"/>
      <c r="AR142" s="1151"/>
      <c r="AS142" s="1152"/>
      <c r="AT142" s="1152"/>
      <c r="AU142" s="1152"/>
      <c r="AV142" s="1153"/>
      <c r="AW142" s="1151"/>
      <c r="AX142" s="1152"/>
      <c r="AY142" s="1154"/>
      <c r="AZ142" s="1152"/>
      <c r="BA142" s="1152"/>
    </row>
    <row r="143" spans="1:53">
      <c r="A143" s="764"/>
      <c r="B143" s="562" t="s">
        <v>1085</v>
      </c>
      <c r="C143" s="896">
        <v>1.6</v>
      </c>
      <c r="D143" s="881">
        <v>0.5</v>
      </c>
      <c r="E143" s="881">
        <v>1.1000000000000001</v>
      </c>
      <c r="F143" s="881" t="s">
        <v>452</v>
      </c>
      <c r="G143" s="883"/>
      <c r="H143" s="882">
        <v>0.60000000000000009</v>
      </c>
      <c r="I143" s="881">
        <v>0.2</v>
      </c>
      <c r="J143" s="884"/>
      <c r="K143" s="881">
        <v>0.4</v>
      </c>
      <c r="L143" s="881" t="s">
        <v>452</v>
      </c>
      <c r="M143" s="479"/>
      <c r="N143" s="479"/>
      <c r="O143" s="882">
        <v>2.7</v>
      </c>
      <c r="P143" s="881">
        <v>0.8</v>
      </c>
      <c r="Q143" s="881">
        <v>1.9000000000000001</v>
      </c>
      <c r="R143" s="881" t="s">
        <v>452</v>
      </c>
      <c r="S143" s="883"/>
      <c r="T143" s="882">
        <v>1</v>
      </c>
      <c r="U143" s="881">
        <v>0.3</v>
      </c>
      <c r="V143" s="884"/>
      <c r="W143" s="881">
        <v>0.7</v>
      </c>
      <c r="X143" s="881" t="s">
        <v>452</v>
      </c>
      <c r="Z143" s="1147"/>
      <c r="AC143" s="1148"/>
      <c r="AD143" s="1149"/>
      <c r="AF143" s="1151"/>
      <c r="AG143" s="1152"/>
      <c r="AH143" s="1152"/>
      <c r="AI143" s="1152"/>
      <c r="AJ143" s="1153"/>
      <c r="AK143" s="1151"/>
      <c r="AL143" s="1152"/>
      <c r="AM143" s="1154"/>
      <c r="AN143" s="1152"/>
      <c r="AO143" s="1152"/>
      <c r="AP143" s="1155"/>
      <c r="AQ143" s="1155"/>
      <c r="AR143" s="1151"/>
      <c r="AS143" s="1152"/>
      <c r="AT143" s="1152"/>
      <c r="AU143" s="1152"/>
      <c r="AV143" s="1153"/>
      <c r="AW143" s="1151"/>
      <c r="AX143" s="1152"/>
      <c r="AY143" s="1154"/>
      <c r="AZ143" s="1152"/>
      <c r="BA143" s="1152"/>
    </row>
    <row r="144" spans="1:53">
      <c r="A144" s="764"/>
      <c r="B144" s="562" t="s">
        <v>1086</v>
      </c>
      <c r="C144" s="896">
        <v>0</v>
      </c>
      <c r="D144" s="881">
        <v>0</v>
      </c>
      <c r="E144" s="881">
        <v>0</v>
      </c>
      <c r="F144" s="881" t="s">
        <v>452</v>
      </c>
      <c r="G144" s="883"/>
      <c r="H144" s="882" t="s">
        <v>452</v>
      </c>
      <c r="I144" s="881">
        <v>0</v>
      </c>
      <c r="J144" s="884"/>
      <c r="K144" s="881">
        <v>0</v>
      </c>
      <c r="L144" s="881" t="s">
        <v>452</v>
      </c>
      <c r="M144" s="479"/>
      <c r="N144" s="479"/>
      <c r="O144" s="882">
        <v>3.8</v>
      </c>
      <c r="P144" s="881">
        <v>0</v>
      </c>
      <c r="Q144" s="881">
        <v>3.8</v>
      </c>
      <c r="R144" s="881">
        <v>0</v>
      </c>
      <c r="S144" s="883"/>
      <c r="T144" s="882">
        <v>1.6</v>
      </c>
      <c r="U144" s="881">
        <v>0.7</v>
      </c>
      <c r="V144" s="884"/>
      <c r="W144" s="881">
        <v>0.9</v>
      </c>
      <c r="X144" s="881" t="s">
        <v>452</v>
      </c>
      <c r="Z144" s="1147"/>
      <c r="AC144" s="1148"/>
      <c r="AD144" s="1149"/>
      <c r="AF144" s="1151"/>
      <c r="AG144" s="1152"/>
      <c r="AH144" s="1152"/>
      <c r="AI144" s="1152"/>
      <c r="AJ144" s="1153"/>
      <c r="AK144" s="1151"/>
      <c r="AL144" s="1152"/>
      <c r="AM144" s="1154"/>
      <c r="AN144" s="1152"/>
      <c r="AO144" s="1152"/>
      <c r="AP144" s="1155"/>
      <c r="AQ144" s="1155"/>
      <c r="AR144" s="1151"/>
      <c r="AS144" s="1152"/>
      <c r="AT144" s="1152"/>
      <c r="AU144" s="1152"/>
      <c r="AV144" s="1153"/>
      <c r="AW144" s="1151"/>
      <c r="AX144" s="1152"/>
      <c r="AY144" s="1154"/>
      <c r="AZ144" s="1152"/>
      <c r="BA144" s="1152"/>
    </row>
    <row r="145" spans="1:53">
      <c r="A145" s="838"/>
      <c r="B145" s="565" t="s">
        <v>871</v>
      </c>
      <c r="C145" s="896"/>
      <c r="D145" s="881"/>
      <c r="E145" s="881" t="s">
        <v>452</v>
      </c>
      <c r="F145" s="881" t="s">
        <v>452</v>
      </c>
      <c r="G145" s="883"/>
      <c r="H145" s="882" t="s">
        <v>452</v>
      </c>
      <c r="I145" s="881" t="s">
        <v>452</v>
      </c>
      <c r="J145" s="884"/>
      <c r="K145" s="881" t="s">
        <v>452</v>
      </c>
      <c r="L145" s="881" t="s">
        <v>452</v>
      </c>
      <c r="M145" s="479"/>
      <c r="N145" s="479"/>
      <c r="O145" s="882" t="s">
        <v>452</v>
      </c>
      <c r="P145" s="881" t="s">
        <v>452</v>
      </c>
      <c r="Q145" s="881" t="s">
        <v>452</v>
      </c>
      <c r="R145" s="881" t="s">
        <v>452</v>
      </c>
      <c r="S145" s="883"/>
      <c r="T145" s="882" t="s">
        <v>452</v>
      </c>
      <c r="U145" s="881" t="s">
        <v>452</v>
      </c>
      <c r="V145" s="884"/>
      <c r="W145" s="881" t="s">
        <v>452</v>
      </c>
      <c r="X145" s="881" t="s">
        <v>452</v>
      </c>
      <c r="Z145" s="1147"/>
      <c r="AC145" s="1148"/>
      <c r="AD145" s="1149"/>
      <c r="AF145" s="1151"/>
      <c r="AG145" s="1152"/>
      <c r="AH145" s="1152"/>
      <c r="AI145" s="1152"/>
      <c r="AJ145" s="1153"/>
      <c r="AK145" s="1151"/>
      <c r="AL145" s="1152"/>
      <c r="AM145" s="1154"/>
      <c r="AN145" s="1152"/>
      <c r="AO145" s="1152"/>
      <c r="AP145" s="1155"/>
      <c r="AQ145" s="1155"/>
      <c r="AR145" s="1151"/>
      <c r="AS145" s="1152"/>
      <c r="AT145" s="1152"/>
      <c r="AU145" s="1152"/>
      <c r="AV145" s="1153"/>
      <c r="AW145" s="1151"/>
      <c r="AX145" s="1152"/>
      <c r="AY145" s="1154"/>
      <c r="AZ145" s="1152"/>
      <c r="BA145" s="1152"/>
    </row>
    <row r="146" spans="1:53">
      <c r="A146" s="764"/>
      <c r="B146" s="562" t="s">
        <v>1087</v>
      </c>
      <c r="C146" s="896">
        <v>0.42235300831513617</v>
      </c>
      <c r="D146" s="881">
        <v>0.13201489785424828</v>
      </c>
      <c r="E146" s="881">
        <v>0.29033811046088787</v>
      </c>
      <c r="F146" s="881" t="s">
        <v>452</v>
      </c>
      <c r="G146" s="883"/>
      <c r="H146" s="882" t="s">
        <v>452</v>
      </c>
      <c r="I146" s="881" t="s">
        <v>452</v>
      </c>
      <c r="J146" s="884"/>
      <c r="K146" s="881" t="s">
        <v>452</v>
      </c>
      <c r="L146" s="881" t="s">
        <v>452</v>
      </c>
      <c r="M146" s="479"/>
      <c r="N146" s="479"/>
      <c r="O146" s="882">
        <v>2.1</v>
      </c>
      <c r="P146" s="881">
        <v>0.69000465049425941</v>
      </c>
      <c r="Q146" s="881">
        <v>1.4099953495057407</v>
      </c>
      <c r="R146" s="881" t="s">
        <v>452</v>
      </c>
      <c r="S146" s="883"/>
      <c r="T146" s="882" t="s">
        <v>452</v>
      </c>
      <c r="U146" s="881" t="s">
        <v>452</v>
      </c>
      <c r="V146" s="884"/>
      <c r="W146" s="881" t="s">
        <v>452</v>
      </c>
      <c r="X146" s="881" t="s">
        <v>452</v>
      </c>
      <c r="Z146" s="1147"/>
      <c r="AC146" s="1148"/>
      <c r="AD146" s="1149"/>
      <c r="AF146" s="1151"/>
      <c r="AG146" s="1152"/>
      <c r="AH146" s="1152"/>
      <c r="AI146" s="1152"/>
      <c r="AJ146" s="1153"/>
      <c r="AK146" s="1151"/>
      <c r="AL146" s="1152"/>
      <c r="AM146" s="1154"/>
      <c r="AN146" s="1152"/>
      <c r="AO146" s="1152"/>
      <c r="AP146" s="1155"/>
      <c r="AQ146" s="1155"/>
      <c r="AR146" s="1151"/>
      <c r="AS146" s="1152"/>
      <c r="AT146" s="1152"/>
      <c r="AU146" s="1152"/>
      <c r="AV146" s="1153"/>
      <c r="AW146" s="1151"/>
      <c r="AX146" s="1152"/>
      <c r="AY146" s="1154"/>
      <c r="AZ146" s="1152"/>
      <c r="BA146" s="1152"/>
    </row>
    <row r="147" spans="1:53">
      <c r="A147" s="764"/>
      <c r="B147" s="562" t="s">
        <v>37</v>
      </c>
      <c r="C147" s="896">
        <v>7.4404955534436894</v>
      </c>
      <c r="D147" s="881">
        <v>2.9836987447040832</v>
      </c>
      <c r="E147" s="881">
        <v>4.4567968087396057</v>
      </c>
      <c r="F147" s="881" t="s">
        <v>452</v>
      </c>
      <c r="G147" s="883"/>
      <c r="H147" s="882">
        <v>0.23586551341534254</v>
      </c>
      <c r="I147" s="881" t="s">
        <v>452</v>
      </c>
      <c r="J147" s="884"/>
      <c r="K147" s="881">
        <v>0.23586551341534254</v>
      </c>
      <c r="L147" s="881" t="s">
        <v>452</v>
      </c>
      <c r="M147" s="479"/>
      <c r="N147" s="479"/>
      <c r="O147" s="882">
        <v>2.3031524031183657</v>
      </c>
      <c r="P147" s="881">
        <v>0.92358269482009558</v>
      </c>
      <c r="Q147" s="881">
        <v>1.3795697082982701</v>
      </c>
      <c r="R147" s="881" t="s">
        <v>452</v>
      </c>
      <c r="S147" s="883"/>
      <c r="T147" s="882">
        <v>7.3010489709098458E-2</v>
      </c>
      <c r="U147" s="881" t="s">
        <v>452</v>
      </c>
      <c r="V147" s="884"/>
      <c r="W147" s="881">
        <v>7.3010489709098458E-2</v>
      </c>
      <c r="X147" s="881" t="s">
        <v>452</v>
      </c>
      <c r="Z147" s="1147"/>
      <c r="AC147" s="1148"/>
      <c r="AD147" s="1149"/>
      <c r="AF147" s="1151"/>
      <c r="AG147" s="1152"/>
      <c r="AH147" s="1152"/>
      <c r="AI147" s="1152"/>
      <c r="AJ147" s="1153"/>
      <c r="AK147" s="1151"/>
      <c r="AL147" s="1152"/>
      <c r="AM147" s="1154"/>
      <c r="AN147" s="1152"/>
      <c r="AO147" s="1152"/>
      <c r="AP147" s="1155"/>
      <c r="AQ147" s="1155"/>
      <c r="AR147" s="1151"/>
      <c r="AS147" s="1152"/>
      <c r="AT147" s="1152"/>
      <c r="AU147" s="1152"/>
      <c r="AV147" s="1153"/>
      <c r="AW147" s="1151"/>
      <c r="AX147" s="1152"/>
      <c r="AY147" s="1154"/>
      <c r="AZ147" s="1152"/>
      <c r="BA147" s="1152"/>
    </row>
    <row r="148" spans="1:53">
      <c r="A148" s="764"/>
      <c r="B148" s="562" t="s">
        <v>1088</v>
      </c>
      <c r="C148" s="896">
        <v>0.41782950447958811</v>
      </c>
      <c r="D148" s="881">
        <v>0.22829419547474228</v>
      </c>
      <c r="E148" s="881">
        <v>0.18953530900484583</v>
      </c>
      <c r="F148" s="881">
        <v>3.4854766324377652E-2</v>
      </c>
      <c r="G148" s="883"/>
      <c r="H148" s="882">
        <v>0.26391340810399344</v>
      </c>
      <c r="I148" s="881">
        <v>0.10456429897313295</v>
      </c>
      <c r="J148" s="884"/>
      <c r="K148" s="881">
        <v>0.15934910913086051</v>
      </c>
      <c r="L148" s="881" t="s">
        <v>452</v>
      </c>
      <c r="M148" s="479"/>
      <c r="N148" s="479"/>
      <c r="O148" s="882">
        <v>2.615335716687742</v>
      </c>
      <c r="P148" s="881">
        <v>1.3912712919976606</v>
      </c>
      <c r="Q148" s="881">
        <v>1.2240644246900814</v>
      </c>
      <c r="R148" s="881">
        <v>0.22793298946683291</v>
      </c>
      <c r="S148" s="883"/>
      <c r="T148" s="882">
        <v>1.5949375669726011</v>
      </c>
      <c r="U148" s="881">
        <v>0.68379896840049881</v>
      </c>
      <c r="V148" s="884"/>
      <c r="W148" s="881">
        <v>0.91113859857210233</v>
      </c>
      <c r="X148" s="881" t="s">
        <v>452</v>
      </c>
      <c r="Z148" s="1147"/>
      <c r="AC148" s="1148"/>
      <c r="AD148" s="1149"/>
      <c r="AF148" s="1151"/>
      <c r="AG148" s="1152"/>
      <c r="AH148" s="1152"/>
      <c r="AI148" s="1152"/>
      <c r="AJ148" s="1153"/>
      <c r="AK148" s="1151"/>
      <c r="AL148" s="1152"/>
      <c r="AM148" s="1154"/>
      <c r="AN148" s="1152"/>
      <c r="AO148" s="1152"/>
      <c r="AP148" s="1155"/>
      <c r="AQ148" s="1155"/>
      <c r="AR148" s="1151"/>
      <c r="AS148" s="1152"/>
      <c r="AT148" s="1152"/>
      <c r="AU148" s="1152"/>
      <c r="AV148" s="1153"/>
      <c r="AW148" s="1151"/>
      <c r="AX148" s="1152"/>
      <c r="AY148" s="1154"/>
      <c r="AZ148" s="1152"/>
      <c r="BA148" s="1152"/>
    </row>
    <row r="149" spans="1:53">
      <c r="A149" s="764"/>
      <c r="B149" s="562" t="s">
        <v>1089</v>
      </c>
      <c r="C149" s="882" t="s">
        <v>452</v>
      </c>
      <c r="D149" s="881" t="s">
        <v>452</v>
      </c>
      <c r="E149" s="881" t="s">
        <v>452</v>
      </c>
      <c r="F149" s="881" t="s">
        <v>452</v>
      </c>
      <c r="G149" s="884"/>
      <c r="H149" s="882" t="s">
        <v>452</v>
      </c>
      <c r="I149" s="881" t="s">
        <v>452</v>
      </c>
      <c r="J149" s="884"/>
      <c r="K149" s="881" t="s">
        <v>452</v>
      </c>
      <c r="L149" s="881" t="s">
        <v>452</v>
      </c>
      <c r="M149" s="479"/>
      <c r="N149" s="479"/>
      <c r="O149" s="882" t="s">
        <v>452</v>
      </c>
      <c r="P149" s="881" t="s">
        <v>452</v>
      </c>
      <c r="Q149" s="881" t="s">
        <v>452</v>
      </c>
      <c r="R149" s="881" t="s">
        <v>452</v>
      </c>
      <c r="S149" s="883"/>
      <c r="T149" s="882" t="s">
        <v>452</v>
      </c>
      <c r="U149" s="881" t="s">
        <v>452</v>
      </c>
      <c r="V149" s="884"/>
      <c r="W149" s="881" t="s">
        <v>452</v>
      </c>
      <c r="X149" s="881" t="s">
        <v>452</v>
      </c>
      <c r="Z149" s="1147"/>
      <c r="AC149" s="1148"/>
      <c r="AD149" s="1149"/>
      <c r="AF149" s="1151"/>
      <c r="AG149" s="1152"/>
      <c r="AH149" s="1152"/>
      <c r="AI149" s="1152"/>
      <c r="AJ149" s="1153"/>
      <c r="AK149" s="1151"/>
      <c r="AL149" s="1152"/>
      <c r="AM149" s="1154"/>
      <c r="AN149" s="1152"/>
      <c r="AO149" s="1152"/>
      <c r="AP149" s="1155"/>
      <c r="AQ149" s="1155"/>
      <c r="AR149" s="1151"/>
      <c r="AS149" s="1152"/>
      <c r="AT149" s="1152"/>
      <c r="AU149" s="1152"/>
      <c r="AV149" s="1153"/>
      <c r="AW149" s="1151"/>
      <c r="AX149" s="1152"/>
      <c r="AY149" s="1154"/>
      <c r="AZ149" s="1152"/>
      <c r="BA149" s="1152"/>
    </row>
    <row r="150" spans="1:53">
      <c r="A150" s="764"/>
      <c r="B150" s="562" t="s">
        <v>1090</v>
      </c>
      <c r="C150" s="896">
        <v>0.6</v>
      </c>
      <c r="D150" s="881">
        <v>0.27</v>
      </c>
      <c r="E150" s="881">
        <v>0.32999999999999996</v>
      </c>
      <c r="F150" s="881" t="s">
        <v>452</v>
      </c>
      <c r="G150" s="883"/>
      <c r="H150" s="882" t="s">
        <v>452</v>
      </c>
      <c r="I150" s="881" t="s">
        <v>452</v>
      </c>
      <c r="J150" s="884"/>
      <c r="K150" s="881" t="s">
        <v>452</v>
      </c>
      <c r="L150" s="881" t="s">
        <v>452</v>
      </c>
      <c r="M150" s="479"/>
      <c r="N150" s="479"/>
      <c r="O150" s="882">
        <v>3.8</v>
      </c>
      <c r="P150" s="881">
        <v>1.7</v>
      </c>
      <c r="Q150" s="881">
        <v>2.0999999999999996</v>
      </c>
      <c r="R150" s="881" t="s">
        <v>452</v>
      </c>
      <c r="S150" s="883"/>
      <c r="T150" s="882" t="s">
        <v>452</v>
      </c>
      <c r="U150" s="881" t="s">
        <v>452</v>
      </c>
      <c r="V150" s="884"/>
      <c r="W150" s="881" t="s">
        <v>452</v>
      </c>
      <c r="X150" s="881" t="s">
        <v>452</v>
      </c>
      <c r="Z150" s="1147"/>
      <c r="AC150" s="1148"/>
      <c r="AD150" s="1149"/>
      <c r="AF150" s="1151"/>
      <c r="AG150" s="1152"/>
      <c r="AH150" s="1152"/>
      <c r="AI150" s="1152"/>
      <c r="AJ150" s="1153"/>
      <c r="AK150" s="1151"/>
      <c r="AL150" s="1152"/>
      <c r="AM150" s="1154"/>
      <c r="AN150" s="1152"/>
      <c r="AO150" s="1152"/>
      <c r="AP150" s="1155"/>
      <c r="AQ150" s="1155"/>
      <c r="AR150" s="1151"/>
      <c r="AS150" s="1152"/>
      <c r="AT150" s="1152"/>
      <c r="AU150" s="1152"/>
      <c r="AV150" s="1153"/>
      <c r="AW150" s="1151"/>
      <c r="AX150" s="1152"/>
      <c r="AY150" s="1154"/>
      <c r="AZ150" s="1152"/>
      <c r="BA150" s="1152"/>
    </row>
    <row r="151" spans="1:53">
      <c r="A151" s="764"/>
      <c r="B151" s="562" t="s">
        <v>1091</v>
      </c>
      <c r="C151" s="896">
        <v>0.15367717104864326</v>
      </c>
      <c r="D151" s="881">
        <v>5.723077793724532E-2</v>
      </c>
      <c r="E151" s="881">
        <v>9.6446393111397924E-2</v>
      </c>
      <c r="F151" s="881" t="s">
        <v>452</v>
      </c>
      <c r="G151" s="883"/>
      <c r="H151" s="882" t="s">
        <v>452</v>
      </c>
      <c r="I151" s="881" t="s">
        <v>452</v>
      </c>
      <c r="J151" s="884"/>
      <c r="K151" s="881" t="s">
        <v>452</v>
      </c>
      <c r="L151" s="881" t="s">
        <v>452</v>
      </c>
      <c r="M151" s="479"/>
      <c r="N151" s="479"/>
      <c r="O151" s="882">
        <v>5.0555050453497747</v>
      </c>
      <c r="P151" s="881">
        <v>1.8827161161071533</v>
      </c>
      <c r="Q151" s="881">
        <v>3.1727889292426212</v>
      </c>
      <c r="R151" s="881" t="s">
        <v>452</v>
      </c>
      <c r="S151" s="883"/>
      <c r="T151" s="882" t="s">
        <v>452</v>
      </c>
      <c r="U151" s="881" t="s">
        <v>452</v>
      </c>
      <c r="V151" s="884"/>
      <c r="W151" s="881" t="s">
        <v>452</v>
      </c>
      <c r="X151" s="881" t="s">
        <v>452</v>
      </c>
      <c r="Z151" s="1147"/>
      <c r="AC151" s="1148"/>
      <c r="AD151" s="1149"/>
      <c r="AF151" s="1151"/>
      <c r="AG151" s="1152"/>
      <c r="AH151" s="1152"/>
      <c r="AI151" s="1152"/>
      <c r="AJ151" s="1153"/>
      <c r="AK151" s="1151"/>
      <c r="AL151" s="1152"/>
      <c r="AM151" s="1154"/>
      <c r="AN151" s="1152"/>
      <c r="AO151" s="1152"/>
      <c r="AP151" s="1155"/>
      <c r="AQ151" s="1155"/>
      <c r="AR151" s="1151"/>
      <c r="AS151" s="1152"/>
      <c r="AT151" s="1152"/>
      <c r="AU151" s="1152"/>
      <c r="AV151" s="1153"/>
      <c r="AW151" s="1151"/>
      <c r="AX151" s="1152"/>
      <c r="AY151" s="1154"/>
      <c r="AZ151" s="1152"/>
      <c r="BA151" s="1152"/>
    </row>
    <row r="152" spans="1:53">
      <c r="A152" s="764"/>
      <c r="B152" s="562" t="s">
        <v>1092</v>
      </c>
      <c r="C152" s="896">
        <v>1.2556657215609024</v>
      </c>
      <c r="D152" s="881">
        <v>0.27303641302823461</v>
      </c>
      <c r="E152" s="881">
        <v>0.98262930853266783</v>
      </c>
      <c r="F152" s="881" t="s">
        <v>452</v>
      </c>
      <c r="G152" s="883"/>
      <c r="H152" s="882">
        <v>5.9138825533346128E-4</v>
      </c>
      <c r="I152" s="881" t="s">
        <v>452</v>
      </c>
      <c r="J152" s="884"/>
      <c r="K152" s="881" t="s">
        <v>452</v>
      </c>
      <c r="L152" s="881">
        <v>5.9138825533346128E-4</v>
      </c>
      <c r="M152" s="479"/>
      <c r="N152" s="479"/>
      <c r="O152" s="882">
        <v>4.9844650782508682</v>
      </c>
      <c r="P152" s="881">
        <v>1.0838397851128305</v>
      </c>
      <c r="Q152" s="881">
        <v>3.9006252931380372</v>
      </c>
      <c r="R152" s="881" t="s">
        <v>452</v>
      </c>
      <c r="S152" s="883"/>
      <c r="T152" s="882">
        <v>2.3475627754917356E-3</v>
      </c>
      <c r="U152" s="881" t="s">
        <v>452</v>
      </c>
      <c r="V152" s="884"/>
      <c r="W152" s="881" t="s">
        <v>452</v>
      </c>
      <c r="X152" s="881">
        <v>2.3475627754917356E-3</v>
      </c>
      <c r="Z152" s="1147"/>
      <c r="AC152" s="1148"/>
      <c r="AD152" s="1149"/>
      <c r="AF152" s="1151"/>
      <c r="AG152" s="1152"/>
      <c r="AH152" s="1152"/>
      <c r="AI152" s="1152"/>
      <c r="AJ152" s="1153"/>
      <c r="AK152" s="1151"/>
      <c r="AL152" s="1152"/>
      <c r="AM152" s="1154"/>
      <c r="AN152" s="1152"/>
      <c r="AO152" s="1152"/>
      <c r="AP152" s="1155"/>
      <c r="AQ152" s="1155"/>
      <c r="AR152" s="1151"/>
      <c r="AS152" s="1152"/>
      <c r="AT152" s="1152"/>
      <c r="AU152" s="1152"/>
      <c r="AV152" s="1153"/>
      <c r="AW152" s="1151"/>
      <c r="AX152" s="1152"/>
      <c r="AY152" s="1154"/>
      <c r="AZ152" s="1152"/>
      <c r="BA152" s="1152"/>
    </row>
    <row r="153" spans="1:53">
      <c r="A153" s="764"/>
      <c r="B153" s="562" t="s">
        <v>1093</v>
      </c>
      <c r="C153" s="896">
        <v>1.0874206115591551</v>
      </c>
      <c r="D153" s="881">
        <v>0.10213054383763584</v>
      </c>
      <c r="E153" s="881">
        <v>0.98529006772151917</v>
      </c>
      <c r="F153" s="881" t="s">
        <v>452</v>
      </c>
      <c r="G153" s="883"/>
      <c r="H153" s="882" t="s">
        <v>452</v>
      </c>
      <c r="I153" s="881" t="s">
        <v>452</v>
      </c>
      <c r="J153" s="884"/>
      <c r="K153" s="881" t="s">
        <v>452</v>
      </c>
      <c r="L153" s="881" t="s">
        <v>452</v>
      </c>
      <c r="M153" s="479"/>
      <c r="N153" s="479"/>
      <c r="O153" s="882">
        <v>2.7227524878440037</v>
      </c>
      <c r="P153" s="881">
        <v>0.25572091365830885</v>
      </c>
      <c r="Q153" s="881">
        <v>2.4670315741856945</v>
      </c>
      <c r="R153" s="881" t="s">
        <v>452</v>
      </c>
      <c r="S153" s="883"/>
      <c r="T153" s="882" t="s">
        <v>452</v>
      </c>
      <c r="U153" s="881" t="s">
        <v>452</v>
      </c>
      <c r="V153" s="884"/>
      <c r="W153" s="881" t="s">
        <v>452</v>
      </c>
      <c r="X153" s="881" t="s">
        <v>452</v>
      </c>
      <c r="Z153" s="1147"/>
      <c r="AC153" s="1148"/>
      <c r="AD153" s="1149"/>
      <c r="AF153" s="1151"/>
      <c r="AG153" s="1152"/>
      <c r="AH153" s="1152"/>
      <c r="AI153" s="1152"/>
      <c r="AJ153" s="1153"/>
      <c r="AK153" s="1151"/>
      <c r="AL153" s="1152"/>
      <c r="AM153" s="1154"/>
      <c r="AN153" s="1152"/>
      <c r="AO153" s="1152"/>
      <c r="AP153" s="1155"/>
      <c r="AQ153" s="1155"/>
      <c r="AR153" s="1151"/>
      <c r="AS153" s="1152"/>
      <c r="AT153" s="1152"/>
      <c r="AU153" s="1152"/>
      <c r="AV153" s="1153"/>
      <c r="AW153" s="1151"/>
      <c r="AX153" s="1152"/>
      <c r="AY153" s="1154"/>
      <c r="AZ153" s="1152"/>
      <c r="BA153" s="1152"/>
    </row>
    <row r="154" spans="1:53">
      <c r="A154" s="764"/>
      <c r="B154" s="562" t="s">
        <v>1094</v>
      </c>
      <c r="C154" s="896">
        <v>2.7489993060215441E-2</v>
      </c>
      <c r="D154" s="881">
        <v>1.7398729784946481E-2</v>
      </c>
      <c r="E154" s="881">
        <v>1.009126327526896E-2</v>
      </c>
      <c r="F154" s="881" t="s">
        <v>452</v>
      </c>
      <c r="G154" s="883"/>
      <c r="H154" s="882" t="s">
        <v>452</v>
      </c>
      <c r="I154" s="881" t="s">
        <v>452</v>
      </c>
      <c r="J154" s="884"/>
      <c r="K154" s="881" t="s">
        <v>452</v>
      </c>
      <c r="L154" s="881" t="s">
        <v>452</v>
      </c>
      <c r="M154" s="479"/>
      <c r="N154" s="479"/>
      <c r="O154" s="882">
        <v>1.1516936727816518</v>
      </c>
      <c r="P154" s="881">
        <v>0.72892004606433658</v>
      </c>
      <c r="Q154" s="881">
        <v>0.42277362671731522</v>
      </c>
      <c r="R154" s="881" t="s">
        <v>452</v>
      </c>
      <c r="S154" s="883"/>
      <c r="T154" s="882" t="s">
        <v>452</v>
      </c>
      <c r="U154" s="881" t="s">
        <v>452</v>
      </c>
      <c r="V154" s="884"/>
      <c r="W154" s="881" t="s">
        <v>452</v>
      </c>
      <c r="X154" s="881" t="s">
        <v>452</v>
      </c>
      <c r="Z154" s="1147"/>
      <c r="AC154" s="1148"/>
      <c r="AD154" s="1149"/>
      <c r="AF154" s="1151"/>
      <c r="AG154" s="1152"/>
      <c r="AH154" s="1152"/>
      <c r="AI154" s="1152"/>
      <c r="AJ154" s="1153"/>
      <c r="AK154" s="1151"/>
      <c r="AL154" s="1152"/>
      <c r="AM154" s="1154"/>
      <c r="AN154" s="1152"/>
      <c r="AO154" s="1152"/>
      <c r="AP154" s="1155"/>
      <c r="AQ154" s="1155"/>
      <c r="AR154" s="1151"/>
      <c r="AS154" s="1152"/>
      <c r="AT154" s="1152"/>
      <c r="AU154" s="1152"/>
      <c r="AV154" s="1153"/>
      <c r="AW154" s="1151"/>
      <c r="AX154" s="1152"/>
      <c r="AY154" s="1154"/>
      <c r="AZ154" s="1152"/>
      <c r="BA154" s="1152"/>
    </row>
    <row r="155" spans="1:53">
      <c r="A155" s="764"/>
      <c r="B155" s="562" t="s">
        <v>1095</v>
      </c>
      <c r="C155" s="896">
        <v>0.57241820992473713</v>
      </c>
      <c r="D155" s="881">
        <v>7.307466509677496E-2</v>
      </c>
      <c r="E155" s="881">
        <v>0.49934354482796223</v>
      </c>
      <c r="F155" s="881" t="s">
        <v>452</v>
      </c>
      <c r="G155" s="883"/>
      <c r="H155" s="882">
        <v>0</v>
      </c>
      <c r="I155" s="881" t="s">
        <v>452</v>
      </c>
      <c r="J155" s="884"/>
      <c r="K155" s="881">
        <v>0</v>
      </c>
      <c r="L155" s="881" t="s">
        <v>452</v>
      </c>
      <c r="M155" s="479"/>
      <c r="N155" s="479"/>
      <c r="O155" s="882">
        <v>5.2826581188893638</v>
      </c>
      <c r="P155" s="881">
        <v>0.67438188751779127</v>
      </c>
      <c r="Q155" s="881">
        <v>4.6082762313715735</v>
      </c>
      <c r="R155" s="881" t="s">
        <v>452</v>
      </c>
      <c r="S155" s="883"/>
      <c r="T155" s="882">
        <v>0</v>
      </c>
      <c r="U155" s="881" t="s">
        <v>452</v>
      </c>
      <c r="V155" s="884"/>
      <c r="W155" s="881">
        <v>0</v>
      </c>
      <c r="X155" s="881" t="s">
        <v>452</v>
      </c>
      <c r="Z155" s="1147"/>
      <c r="AC155" s="1148"/>
      <c r="AD155" s="1149"/>
      <c r="AF155" s="1151"/>
      <c r="AG155" s="1152"/>
      <c r="AH155" s="1152"/>
      <c r="AI155" s="1152"/>
      <c r="AJ155" s="1153"/>
      <c r="AK155" s="1151"/>
      <c r="AL155" s="1152"/>
      <c r="AM155" s="1154"/>
      <c r="AN155" s="1152"/>
      <c r="AO155" s="1152"/>
      <c r="AP155" s="1155"/>
      <c r="AQ155" s="1155"/>
      <c r="AR155" s="1151"/>
      <c r="AS155" s="1152"/>
      <c r="AT155" s="1152"/>
      <c r="AU155" s="1152"/>
      <c r="AV155" s="1153"/>
      <c r="AW155" s="1151"/>
      <c r="AX155" s="1152"/>
      <c r="AY155" s="1154"/>
      <c r="AZ155" s="1152"/>
      <c r="BA155" s="1152"/>
    </row>
    <row r="156" spans="1:53">
      <c r="A156" s="764"/>
      <c r="B156" s="562" t="s">
        <v>1096</v>
      </c>
      <c r="C156" s="896">
        <v>4.3148849866667199E-2</v>
      </c>
      <c r="D156" s="881">
        <v>2.4126238635125745E-2</v>
      </c>
      <c r="E156" s="881">
        <v>1.9022611231541454E-2</v>
      </c>
      <c r="F156" s="881" t="s">
        <v>452</v>
      </c>
      <c r="G156" s="883"/>
      <c r="H156" s="882" t="s">
        <v>452</v>
      </c>
      <c r="I156" s="881" t="s">
        <v>452</v>
      </c>
      <c r="J156" s="884"/>
      <c r="K156" s="881" t="s">
        <v>452</v>
      </c>
      <c r="L156" s="881" t="s">
        <v>452</v>
      </c>
      <c r="M156" s="479"/>
      <c r="N156" s="479"/>
      <c r="O156" s="882">
        <v>3.5484291072312235</v>
      </c>
      <c r="P156" s="881">
        <v>1.9840678879142322</v>
      </c>
      <c r="Q156" s="881">
        <v>1.5643612193169909</v>
      </c>
      <c r="R156" s="881" t="s">
        <v>452</v>
      </c>
      <c r="S156" s="883"/>
      <c r="T156" s="882" t="s">
        <v>452</v>
      </c>
      <c r="U156" s="881" t="s">
        <v>452</v>
      </c>
      <c r="V156" s="884"/>
      <c r="W156" s="881" t="s">
        <v>452</v>
      </c>
      <c r="X156" s="881" t="s">
        <v>452</v>
      </c>
      <c r="Z156" s="1147"/>
      <c r="AC156" s="1148"/>
      <c r="AD156" s="1149"/>
      <c r="AF156" s="1151"/>
      <c r="AG156" s="1152"/>
      <c r="AH156" s="1152"/>
      <c r="AI156" s="1152"/>
      <c r="AJ156" s="1153"/>
      <c r="AK156" s="1151"/>
      <c r="AL156" s="1152"/>
      <c r="AM156" s="1154"/>
      <c r="AN156" s="1152"/>
      <c r="AO156" s="1152"/>
      <c r="AP156" s="1155"/>
      <c r="AQ156" s="1155"/>
      <c r="AR156" s="1151"/>
      <c r="AS156" s="1152"/>
      <c r="AT156" s="1152"/>
      <c r="AU156" s="1152"/>
      <c r="AV156" s="1153"/>
      <c r="AW156" s="1151"/>
      <c r="AX156" s="1152"/>
      <c r="AY156" s="1154"/>
      <c r="AZ156" s="1152"/>
      <c r="BA156" s="1152"/>
    </row>
    <row r="157" spans="1:53">
      <c r="A157" s="764"/>
      <c r="B157" s="562" t="s">
        <v>1098</v>
      </c>
      <c r="C157" s="896">
        <v>0.23488285209677748</v>
      </c>
      <c r="D157" s="881">
        <v>0.1304904733870986</v>
      </c>
      <c r="E157" s="881">
        <v>0.10439237870967888</v>
      </c>
      <c r="F157" s="881" t="s">
        <v>452</v>
      </c>
      <c r="G157" s="883"/>
      <c r="H157" s="882">
        <v>4.3496824462366204E-2</v>
      </c>
      <c r="I157" s="881" t="s">
        <v>452</v>
      </c>
      <c r="J157" s="884"/>
      <c r="K157" s="881">
        <v>4.3496824462366204E-2</v>
      </c>
      <c r="L157" s="881" t="s">
        <v>452</v>
      </c>
      <c r="M157" s="479"/>
      <c r="N157" s="479"/>
      <c r="O157" s="882">
        <v>2.2740570442212653</v>
      </c>
      <c r="P157" s="881">
        <v>1.2633650245673695</v>
      </c>
      <c r="Q157" s="881">
        <v>1.0106920196538958</v>
      </c>
      <c r="R157" s="881" t="s">
        <v>452</v>
      </c>
      <c r="S157" s="883"/>
      <c r="T157" s="882">
        <v>0.42112167485578988</v>
      </c>
      <c r="U157" s="881" t="s">
        <v>452</v>
      </c>
      <c r="V157" s="884"/>
      <c r="W157" s="881">
        <v>0.42112167485578988</v>
      </c>
      <c r="X157" s="881" t="s">
        <v>452</v>
      </c>
      <c r="Z157" s="1147"/>
      <c r="AC157" s="1148"/>
      <c r="AD157" s="1149"/>
      <c r="AF157" s="1151"/>
      <c r="AG157" s="1152"/>
      <c r="AH157" s="1152"/>
      <c r="AI157" s="1152"/>
      <c r="AJ157" s="1153"/>
      <c r="AK157" s="1151"/>
      <c r="AL157" s="1152"/>
      <c r="AM157" s="1154"/>
      <c r="AN157" s="1152"/>
      <c r="AO157" s="1152"/>
      <c r="AP157" s="1155"/>
      <c r="AQ157" s="1155"/>
      <c r="AR157" s="1151"/>
      <c r="AS157" s="1152"/>
      <c r="AT157" s="1152"/>
      <c r="AU157" s="1152"/>
      <c r="AV157" s="1153"/>
      <c r="AW157" s="1151"/>
      <c r="AX157" s="1152"/>
      <c r="AY157" s="1154"/>
      <c r="AZ157" s="1152"/>
      <c r="BA157" s="1152"/>
    </row>
    <row r="158" spans="1:53">
      <c r="A158" s="764"/>
      <c r="B158" s="562" t="s">
        <v>94</v>
      </c>
      <c r="C158" s="896">
        <v>1.5977253561516351</v>
      </c>
      <c r="D158" s="881">
        <v>0.3</v>
      </c>
      <c r="E158" s="881">
        <v>1.2977253561516351</v>
      </c>
      <c r="F158" s="881" t="s">
        <v>452</v>
      </c>
      <c r="G158" s="883"/>
      <c r="H158" s="882" t="s">
        <v>452</v>
      </c>
      <c r="I158" s="881" t="s">
        <v>452</v>
      </c>
      <c r="J158" s="884"/>
      <c r="K158" s="881" t="s">
        <v>452</v>
      </c>
      <c r="L158" s="881" t="s">
        <v>452</v>
      </c>
      <c r="M158" s="479"/>
      <c r="N158" s="479"/>
      <c r="O158" s="882">
        <v>2.5</v>
      </c>
      <c r="P158" s="881">
        <v>0.5</v>
      </c>
      <c r="Q158" s="881">
        <v>2</v>
      </c>
      <c r="R158" s="881" t="s">
        <v>452</v>
      </c>
      <c r="S158" s="883"/>
      <c r="T158" s="882" t="s">
        <v>452</v>
      </c>
      <c r="U158" s="881" t="s">
        <v>452</v>
      </c>
      <c r="V158" s="884"/>
      <c r="W158" s="881" t="s">
        <v>452</v>
      </c>
      <c r="X158" s="881" t="s">
        <v>452</v>
      </c>
      <c r="Z158" s="1147"/>
      <c r="AC158" s="1148"/>
      <c r="AD158" s="1149"/>
      <c r="AF158" s="1151"/>
      <c r="AG158" s="1152"/>
      <c r="AH158" s="1152"/>
      <c r="AI158" s="1152"/>
      <c r="AJ158" s="1153"/>
      <c r="AK158" s="1151"/>
      <c r="AL158" s="1152"/>
      <c r="AM158" s="1154"/>
      <c r="AN158" s="1152"/>
      <c r="AO158" s="1152"/>
      <c r="AP158" s="1155"/>
      <c r="AQ158" s="1155"/>
      <c r="AR158" s="1151"/>
      <c r="AS158" s="1152"/>
      <c r="AT158" s="1152"/>
      <c r="AU158" s="1152"/>
      <c r="AV158" s="1153"/>
      <c r="AW158" s="1151"/>
      <c r="AX158" s="1152"/>
      <c r="AY158" s="1154"/>
      <c r="AZ158" s="1152"/>
      <c r="BA158" s="1152"/>
    </row>
    <row r="159" spans="1:53">
      <c r="A159" s="764"/>
      <c r="B159" s="562" t="s">
        <v>1097</v>
      </c>
      <c r="C159" s="896">
        <v>1.9675737656882086</v>
      </c>
      <c r="D159" s="881">
        <v>8.6955634442986984E-2</v>
      </c>
      <c r="E159" s="881">
        <v>1.8806181312452217</v>
      </c>
      <c r="F159" s="881" t="s">
        <v>452</v>
      </c>
      <c r="G159" s="883"/>
      <c r="H159" s="882" t="s">
        <v>452</v>
      </c>
      <c r="I159" s="881" t="s">
        <v>452</v>
      </c>
      <c r="J159" s="884"/>
      <c r="K159" s="881" t="s">
        <v>452</v>
      </c>
      <c r="L159" s="881" t="s">
        <v>452</v>
      </c>
      <c r="M159" s="479"/>
      <c r="N159" s="479"/>
      <c r="O159" s="882">
        <v>4.0396514459547577</v>
      </c>
      <c r="P159" s="881">
        <v>0.17852975097411913</v>
      </c>
      <c r="Q159" s="881">
        <v>3.8611216949806382</v>
      </c>
      <c r="R159" s="881" t="s">
        <v>452</v>
      </c>
      <c r="S159" s="883"/>
      <c r="T159" s="882" t="s">
        <v>452</v>
      </c>
      <c r="U159" s="881" t="s">
        <v>452</v>
      </c>
      <c r="V159" s="884"/>
      <c r="W159" s="881" t="s">
        <v>452</v>
      </c>
      <c r="X159" s="881" t="s">
        <v>452</v>
      </c>
      <c r="Z159" s="1147"/>
      <c r="AC159" s="1148"/>
      <c r="AD159" s="1149"/>
      <c r="AF159" s="1151"/>
      <c r="AG159" s="1152"/>
      <c r="AH159" s="1152"/>
      <c r="AI159" s="1152"/>
      <c r="AJ159" s="1153"/>
      <c r="AK159" s="1151"/>
      <c r="AL159" s="1152"/>
      <c r="AM159" s="1154"/>
      <c r="AN159" s="1152"/>
      <c r="AO159" s="1152"/>
      <c r="AP159" s="1155"/>
      <c r="AQ159" s="1155"/>
      <c r="AR159" s="1151"/>
      <c r="AS159" s="1152"/>
      <c r="AT159" s="1152"/>
      <c r="AU159" s="1152"/>
      <c r="AV159" s="1153"/>
      <c r="AW159" s="1151"/>
      <c r="AX159" s="1152"/>
      <c r="AY159" s="1154"/>
      <c r="AZ159" s="1152"/>
      <c r="BA159" s="1152"/>
    </row>
    <row r="160" spans="1:53">
      <c r="A160" s="764"/>
      <c r="B160" s="562" t="s">
        <v>1099</v>
      </c>
      <c r="C160" s="896">
        <v>0.10263277834358348</v>
      </c>
      <c r="D160" s="881">
        <v>2.8133985291552491E-2</v>
      </c>
      <c r="E160" s="881">
        <v>7.4498793052030984E-2</v>
      </c>
      <c r="F160" s="881" t="s">
        <v>452</v>
      </c>
      <c r="G160" s="883"/>
      <c r="H160" s="882" t="s">
        <v>452</v>
      </c>
      <c r="I160" s="881" t="s">
        <v>452</v>
      </c>
      <c r="J160" s="884"/>
      <c r="K160" s="881" t="s">
        <v>452</v>
      </c>
      <c r="L160" s="881" t="s">
        <v>452</v>
      </c>
      <c r="M160" s="479"/>
      <c r="N160" s="479"/>
      <c r="O160" s="882">
        <v>2.9836838281640916</v>
      </c>
      <c r="P160" s="881">
        <v>0.8178957862291919</v>
      </c>
      <c r="Q160" s="881">
        <v>2.1657880419348996</v>
      </c>
      <c r="R160" s="881" t="s">
        <v>452</v>
      </c>
      <c r="S160" s="883"/>
      <c r="T160" s="882" t="s">
        <v>452</v>
      </c>
      <c r="U160" s="881" t="s">
        <v>452</v>
      </c>
      <c r="V160" s="884"/>
      <c r="W160" s="881" t="s">
        <v>452</v>
      </c>
      <c r="X160" s="881" t="s">
        <v>452</v>
      </c>
      <c r="Z160" s="1147"/>
      <c r="AC160" s="1148"/>
      <c r="AD160" s="1149"/>
      <c r="AF160" s="1151"/>
      <c r="AG160" s="1152"/>
      <c r="AH160" s="1152"/>
      <c r="AI160" s="1152"/>
      <c r="AJ160" s="1153"/>
      <c r="AK160" s="1151"/>
      <c r="AL160" s="1152"/>
      <c r="AM160" s="1154"/>
      <c r="AN160" s="1152"/>
      <c r="AO160" s="1152"/>
      <c r="AP160" s="1155"/>
      <c r="AQ160" s="1155"/>
      <c r="AR160" s="1151"/>
      <c r="AS160" s="1152"/>
      <c r="AT160" s="1152"/>
      <c r="AU160" s="1152"/>
      <c r="AV160" s="1153"/>
      <c r="AW160" s="1151"/>
      <c r="AX160" s="1152"/>
      <c r="AY160" s="1154"/>
      <c r="AZ160" s="1152"/>
      <c r="BA160" s="1152"/>
    </row>
    <row r="161" spans="1:53">
      <c r="A161" s="764"/>
      <c r="B161" s="562" t="s">
        <v>1100</v>
      </c>
      <c r="C161" s="896" t="s">
        <v>452</v>
      </c>
      <c r="D161" s="881" t="s">
        <v>452</v>
      </c>
      <c r="E161" s="881" t="s">
        <v>452</v>
      </c>
      <c r="F161" s="881" t="s">
        <v>452</v>
      </c>
      <c r="G161" s="883"/>
      <c r="H161" s="882" t="s">
        <v>452</v>
      </c>
      <c r="I161" s="881" t="s">
        <v>452</v>
      </c>
      <c r="J161" s="884"/>
      <c r="K161" s="881" t="s">
        <v>452</v>
      </c>
      <c r="L161" s="881" t="s">
        <v>452</v>
      </c>
      <c r="M161" s="479"/>
      <c r="N161" s="479"/>
      <c r="O161" s="882" t="s">
        <v>452</v>
      </c>
      <c r="P161" s="881" t="s">
        <v>452</v>
      </c>
      <c r="Q161" s="881" t="s">
        <v>452</v>
      </c>
      <c r="R161" s="881" t="s">
        <v>452</v>
      </c>
      <c r="S161" s="883"/>
      <c r="T161" s="882" t="s">
        <v>452</v>
      </c>
      <c r="U161" s="881" t="s">
        <v>452</v>
      </c>
      <c r="V161" s="884"/>
      <c r="W161" s="881" t="s">
        <v>452</v>
      </c>
      <c r="X161" s="881" t="s">
        <v>452</v>
      </c>
      <c r="Z161" s="1147"/>
      <c r="AC161" s="1148"/>
      <c r="AD161" s="1149"/>
      <c r="AF161" s="1151"/>
      <c r="AG161" s="1152"/>
      <c r="AH161" s="1152"/>
      <c r="AI161" s="1152"/>
      <c r="AJ161" s="1153"/>
      <c r="AK161" s="1151"/>
      <c r="AL161" s="1152"/>
      <c r="AM161" s="1154"/>
      <c r="AN161" s="1152"/>
      <c r="AO161" s="1152"/>
      <c r="AP161" s="1155"/>
      <c r="AQ161" s="1155"/>
      <c r="AR161" s="1151"/>
      <c r="AS161" s="1152"/>
      <c r="AT161" s="1152"/>
      <c r="AU161" s="1152"/>
      <c r="AV161" s="1153"/>
      <c r="AW161" s="1151"/>
      <c r="AX161" s="1152"/>
      <c r="AY161" s="1154"/>
      <c r="AZ161" s="1152"/>
      <c r="BA161" s="1152"/>
    </row>
    <row r="162" spans="1:53">
      <c r="A162" s="764"/>
      <c r="B162" s="562" t="s">
        <v>548</v>
      </c>
      <c r="C162" s="896">
        <v>2.4164497040512201</v>
      </c>
      <c r="D162" s="881">
        <v>0.60983861014562779</v>
      </c>
      <c r="E162" s="881">
        <v>1.8066110939055922</v>
      </c>
      <c r="F162" s="881" t="s">
        <v>452</v>
      </c>
      <c r="G162" s="883"/>
      <c r="H162" s="882">
        <v>0.60124933394639357</v>
      </c>
      <c r="I162" s="881">
        <v>0.60124933394639357</v>
      </c>
      <c r="J162" s="884"/>
      <c r="K162" s="881" t="s">
        <v>452</v>
      </c>
      <c r="L162" s="881" t="s">
        <v>452</v>
      </c>
      <c r="M162" s="479"/>
      <c r="N162" s="479"/>
      <c r="O162" s="882">
        <v>2.5012230728926022</v>
      </c>
      <c r="P162" s="881">
        <v>0.63123283711626088</v>
      </c>
      <c r="Q162" s="881">
        <v>1.8699902357763409</v>
      </c>
      <c r="R162" s="881" t="s">
        <v>452</v>
      </c>
      <c r="S162" s="883"/>
      <c r="T162" s="882">
        <v>0.62234223377659526</v>
      </c>
      <c r="U162" s="881">
        <v>0.62234223377659526</v>
      </c>
      <c r="V162" s="884"/>
      <c r="W162" s="881" t="s">
        <v>452</v>
      </c>
      <c r="X162" s="881" t="s">
        <v>452</v>
      </c>
      <c r="Z162" s="1147"/>
      <c r="AC162" s="1148"/>
      <c r="AD162" s="1149"/>
      <c r="AF162" s="1151"/>
      <c r="AG162" s="1152"/>
      <c r="AH162" s="1152"/>
      <c r="AI162" s="1152"/>
      <c r="AJ162" s="1153"/>
      <c r="AK162" s="1151"/>
      <c r="AL162" s="1152"/>
      <c r="AM162" s="1154"/>
      <c r="AN162" s="1152"/>
      <c r="AO162" s="1152"/>
      <c r="AP162" s="1155"/>
      <c r="AQ162" s="1155"/>
      <c r="AR162" s="1151"/>
      <c r="AS162" s="1152"/>
      <c r="AT162" s="1152"/>
      <c r="AU162" s="1152"/>
      <c r="AV162" s="1153"/>
      <c r="AW162" s="1151"/>
      <c r="AX162" s="1152"/>
      <c r="AY162" s="1154"/>
      <c r="AZ162" s="1152"/>
      <c r="BA162" s="1152"/>
    </row>
    <row r="163" spans="1:53">
      <c r="A163" s="764"/>
      <c r="B163" s="562" t="s">
        <v>1101</v>
      </c>
      <c r="C163" s="896">
        <v>8.1426909654905011E-2</v>
      </c>
      <c r="D163" s="881">
        <v>2.3264831329972858E-2</v>
      </c>
      <c r="E163" s="881">
        <v>5.816207832493215E-2</v>
      </c>
      <c r="F163" s="881">
        <v>2.5203567274137265E-2</v>
      </c>
      <c r="G163" s="883"/>
      <c r="H163" s="882" t="s">
        <v>452</v>
      </c>
      <c r="I163" s="881" t="s">
        <v>452</v>
      </c>
      <c r="J163" s="884"/>
      <c r="K163" s="881" t="s">
        <v>452</v>
      </c>
      <c r="L163" s="881" t="s">
        <v>452</v>
      </c>
      <c r="M163" s="479"/>
      <c r="N163" s="479"/>
      <c r="O163" s="882">
        <v>4.372852038229877</v>
      </c>
      <c r="P163" s="881">
        <v>1.2493862966371077</v>
      </c>
      <c r="Q163" s="881">
        <v>3.1234657415927689</v>
      </c>
      <c r="R163" s="881">
        <v>1.3535018213568666</v>
      </c>
      <c r="S163" s="883"/>
      <c r="T163" s="882" t="s">
        <v>452</v>
      </c>
      <c r="U163" s="881" t="s">
        <v>452</v>
      </c>
      <c r="V163" s="884"/>
      <c r="W163" s="881" t="s">
        <v>452</v>
      </c>
      <c r="X163" s="881" t="s">
        <v>452</v>
      </c>
      <c r="Z163" s="1147"/>
      <c r="AC163" s="1148"/>
      <c r="AD163" s="1149"/>
      <c r="AF163" s="1151"/>
      <c r="AG163" s="1152"/>
      <c r="AH163" s="1152"/>
      <c r="AI163" s="1152"/>
      <c r="AJ163" s="1153"/>
      <c r="AK163" s="1151"/>
      <c r="AL163" s="1152"/>
      <c r="AM163" s="1154"/>
      <c r="AN163" s="1152"/>
      <c r="AO163" s="1152"/>
      <c r="AP163" s="1155"/>
      <c r="AQ163" s="1155"/>
      <c r="AR163" s="1151"/>
      <c r="AS163" s="1152"/>
      <c r="AT163" s="1152"/>
      <c r="AU163" s="1152"/>
      <c r="AV163" s="1153"/>
      <c r="AW163" s="1151"/>
      <c r="AX163" s="1152"/>
      <c r="AY163" s="1154"/>
      <c r="AZ163" s="1152"/>
      <c r="BA163" s="1152"/>
    </row>
    <row r="164" spans="1:53">
      <c r="A164" s="764"/>
      <c r="B164" s="562" t="s">
        <v>550</v>
      </c>
      <c r="C164" s="896">
        <v>2.2327431550550991</v>
      </c>
      <c r="D164" s="881">
        <v>0.75020170009851339</v>
      </c>
      <c r="E164" s="881">
        <v>1.4825414549565861</v>
      </c>
      <c r="F164" s="881" t="s">
        <v>452</v>
      </c>
      <c r="G164" s="883"/>
      <c r="H164" s="882">
        <v>0.21434334288528953</v>
      </c>
      <c r="I164" s="881">
        <v>0.21434334288528953</v>
      </c>
      <c r="J164" s="884"/>
      <c r="K164" s="881" t="s">
        <v>452</v>
      </c>
      <c r="L164" s="881" t="s">
        <v>452</v>
      </c>
      <c r="M164" s="479"/>
      <c r="N164" s="479"/>
      <c r="O164" s="882">
        <v>3.2595714054750369</v>
      </c>
      <c r="P164" s="881">
        <v>1.0952159922396125</v>
      </c>
      <c r="Q164" s="881">
        <v>2.164355413235425</v>
      </c>
      <c r="R164" s="881" t="s">
        <v>452</v>
      </c>
      <c r="S164" s="883"/>
      <c r="T164" s="882">
        <v>0.31291885492560356</v>
      </c>
      <c r="U164" s="881">
        <v>0.31291885492560356</v>
      </c>
      <c r="V164" s="884"/>
      <c r="W164" s="881" t="s">
        <v>452</v>
      </c>
      <c r="X164" s="881" t="s">
        <v>452</v>
      </c>
      <c r="Z164" s="1147"/>
      <c r="AB164" s="1164"/>
      <c r="AC164" s="1148"/>
      <c r="AD164" s="1149"/>
      <c r="AF164" s="1151"/>
      <c r="AG164" s="1152"/>
      <c r="AH164" s="1152"/>
      <c r="AI164" s="1152"/>
      <c r="AJ164" s="1153"/>
      <c r="AK164" s="1151"/>
      <c r="AL164" s="1152"/>
      <c r="AM164" s="1154"/>
      <c r="AN164" s="1152"/>
      <c r="AO164" s="1152"/>
      <c r="AP164" s="1155"/>
      <c r="AQ164" s="1155"/>
      <c r="AR164" s="1151"/>
      <c r="AS164" s="1152"/>
      <c r="AT164" s="1152"/>
      <c r="AU164" s="1152"/>
      <c r="AV164" s="1153"/>
      <c r="AW164" s="1151"/>
      <c r="AX164" s="1152"/>
      <c r="AY164" s="1154"/>
      <c r="AZ164" s="1152"/>
      <c r="BA164" s="1152"/>
    </row>
    <row r="165" spans="1:53">
      <c r="A165" s="764"/>
      <c r="B165" s="562" t="s">
        <v>1102</v>
      </c>
      <c r="C165" s="896">
        <v>0.2303165058285829</v>
      </c>
      <c r="D165" s="881">
        <v>0.14228813637435375</v>
      </c>
      <c r="E165" s="881">
        <v>8.8028369454229149E-2</v>
      </c>
      <c r="F165" s="881" t="s">
        <v>452</v>
      </c>
      <c r="G165" s="883"/>
      <c r="H165" s="882">
        <v>0</v>
      </c>
      <c r="I165" s="881" t="s">
        <v>452</v>
      </c>
      <c r="J165" s="884"/>
      <c r="K165" s="881">
        <v>0</v>
      </c>
      <c r="L165" s="881" t="s">
        <v>452</v>
      </c>
      <c r="M165" s="479"/>
      <c r="N165" s="479"/>
      <c r="O165" s="882">
        <v>1.4967268439934793</v>
      </c>
      <c r="P165" s="881">
        <v>0.9246687402065934</v>
      </c>
      <c r="Q165" s="881">
        <v>0.57205810378688593</v>
      </c>
      <c r="R165" s="881" t="s">
        <v>452</v>
      </c>
      <c r="S165" s="883"/>
      <c r="T165" s="882">
        <v>5.0198587198543344E-2</v>
      </c>
      <c r="U165" s="881" t="s">
        <v>452</v>
      </c>
      <c r="V165" s="884"/>
      <c r="W165" s="881">
        <v>5.0198587198543344E-2</v>
      </c>
      <c r="X165" s="881" t="s">
        <v>452</v>
      </c>
      <c r="Z165" s="1147"/>
      <c r="AC165" s="1148"/>
      <c r="AD165" s="1149"/>
      <c r="AF165" s="1151"/>
      <c r="AG165" s="1152"/>
      <c r="AH165" s="1152"/>
      <c r="AI165" s="1152"/>
      <c r="AJ165" s="1153"/>
      <c r="AK165" s="1151"/>
      <c r="AL165" s="1152"/>
      <c r="AM165" s="1154"/>
      <c r="AN165" s="1152"/>
      <c r="AO165" s="1152"/>
      <c r="AP165" s="1155"/>
      <c r="AQ165" s="1155"/>
      <c r="AR165" s="1151"/>
      <c r="AS165" s="1152"/>
      <c r="AT165" s="1152"/>
      <c r="AU165" s="1152"/>
      <c r="AV165" s="1153"/>
      <c r="AW165" s="1151"/>
      <c r="AX165" s="1152"/>
      <c r="AY165" s="1154"/>
      <c r="AZ165" s="1152"/>
      <c r="BA165" s="1152"/>
    </row>
    <row r="166" spans="1:53">
      <c r="A166" s="764"/>
      <c r="B166" s="562" t="s">
        <v>566</v>
      </c>
      <c r="C166" s="896">
        <v>9.6093184602259421E-2</v>
      </c>
      <c r="D166" s="881">
        <v>8.4557826754839902E-2</v>
      </c>
      <c r="E166" s="881">
        <v>1.1535357847419518E-2</v>
      </c>
      <c r="F166" s="881" t="s">
        <v>452</v>
      </c>
      <c r="G166" s="883"/>
      <c r="H166" s="882">
        <v>2.609809467741972E-2</v>
      </c>
      <c r="I166" s="881">
        <v>2.609809467741972E-2</v>
      </c>
      <c r="J166" s="884"/>
      <c r="K166" s="881" t="s">
        <v>452</v>
      </c>
      <c r="L166" s="881" t="s">
        <v>452</v>
      </c>
      <c r="M166" s="479"/>
      <c r="N166" s="479"/>
      <c r="O166" s="882">
        <v>6.702226729381966</v>
      </c>
      <c r="P166" s="881">
        <v>5.8976682789781556</v>
      </c>
      <c r="Q166" s="881">
        <v>0.80455845040381013</v>
      </c>
      <c r="R166" s="881" t="s">
        <v>452</v>
      </c>
      <c r="S166" s="883"/>
      <c r="T166" s="882">
        <v>1.8202679873389367</v>
      </c>
      <c r="U166" s="881">
        <v>1.8202679873389367</v>
      </c>
      <c r="V166" s="884"/>
      <c r="W166" s="881" t="s">
        <v>452</v>
      </c>
      <c r="X166" s="881" t="s">
        <v>452</v>
      </c>
      <c r="Z166" s="1147"/>
      <c r="AC166" s="1148"/>
      <c r="AD166" s="1149"/>
      <c r="AF166" s="1151"/>
      <c r="AG166" s="1152"/>
      <c r="AH166" s="1152"/>
      <c r="AI166" s="1152"/>
      <c r="AJ166" s="1153"/>
      <c r="AK166" s="1151"/>
      <c r="AL166" s="1152"/>
      <c r="AM166" s="1154"/>
      <c r="AN166" s="1152"/>
      <c r="AO166" s="1152"/>
      <c r="AP166" s="1155"/>
      <c r="AQ166" s="1155"/>
      <c r="AR166" s="1151"/>
      <c r="AS166" s="1152"/>
      <c r="AT166" s="1152"/>
      <c r="AU166" s="1152"/>
      <c r="AV166" s="1153"/>
      <c r="AW166" s="1151"/>
      <c r="AX166" s="1152"/>
      <c r="AY166" s="1154"/>
      <c r="AZ166" s="1152"/>
      <c r="BA166" s="1152"/>
    </row>
    <row r="167" spans="1:53">
      <c r="A167" s="764"/>
      <c r="B167" s="562" t="s">
        <v>1103</v>
      </c>
      <c r="C167" s="896">
        <v>0.08</v>
      </c>
      <c r="D167" s="881">
        <v>0.05</v>
      </c>
      <c r="E167" s="881">
        <v>0.03</v>
      </c>
      <c r="F167" s="881" t="s">
        <v>452</v>
      </c>
      <c r="G167" s="883"/>
      <c r="H167" s="882" t="s">
        <v>452</v>
      </c>
      <c r="I167" s="881" t="s">
        <v>452</v>
      </c>
      <c r="J167" s="884"/>
      <c r="K167" s="881" t="s">
        <v>452</v>
      </c>
      <c r="L167" s="881" t="s">
        <v>452</v>
      </c>
      <c r="M167" s="479"/>
      <c r="N167" s="479"/>
      <c r="O167" s="882">
        <v>0.57999999999999996</v>
      </c>
      <c r="P167" s="881">
        <v>0.39</v>
      </c>
      <c r="Q167" s="881">
        <v>0.18999999999999995</v>
      </c>
      <c r="R167" s="881" t="s">
        <v>452</v>
      </c>
      <c r="S167" s="883"/>
      <c r="T167" s="882" t="s">
        <v>452</v>
      </c>
      <c r="U167" s="881" t="s">
        <v>452</v>
      </c>
      <c r="V167" s="884"/>
      <c r="W167" s="881" t="s">
        <v>452</v>
      </c>
      <c r="X167" s="881" t="s">
        <v>452</v>
      </c>
      <c r="Z167" s="1147"/>
      <c r="AC167" s="1148"/>
      <c r="AD167" s="1149"/>
      <c r="AF167" s="1151"/>
      <c r="AG167" s="1152"/>
      <c r="AH167" s="1152"/>
      <c r="AI167" s="1152"/>
      <c r="AJ167" s="1153"/>
      <c r="AK167" s="1151"/>
      <c r="AL167" s="1152"/>
      <c r="AM167" s="1154"/>
      <c r="AN167" s="1152"/>
      <c r="AO167" s="1152"/>
      <c r="AP167" s="1155"/>
      <c r="AQ167" s="1155"/>
      <c r="AR167" s="1151"/>
      <c r="AS167" s="1152"/>
      <c r="AT167" s="1152"/>
      <c r="AU167" s="1152"/>
      <c r="AV167" s="1153"/>
      <c r="AW167" s="1151"/>
      <c r="AX167" s="1152"/>
      <c r="AY167" s="1154"/>
      <c r="AZ167" s="1152"/>
      <c r="BA167" s="1152"/>
    </row>
    <row r="168" spans="1:53">
      <c r="A168" s="764"/>
      <c r="B168" s="562" t="s">
        <v>38</v>
      </c>
      <c r="C168" s="896">
        <v>0.81767544130184866</v>
      </c>
      <c r="D168" s="881">
        <v>0.51664070171808341</v>
      </c>
      <c r="E168" s="881">
        <v>0.3010347395837652</v>
      </c>
      <c r="F168" s="881" t="s">
        <v>452</v>
      </c>
      <c r="G168" s="883"/>
      <c r="H168" s="882">
        <v>0.27967754522140348</v>
      </c>
      <c r="I168" s="881" t="s">
        <v>452</v>
      </c>
      <c r="J168" s="884"/>
      <c r="K168" s="881">
        <v>0.27967754522140348</v>
      </c>
      <c r="L168" s="881">
        <v>0</v>
      </c>
      <c r="M168" s="479"/>
      <c r="N168" s="479"/>
      <c r="O168" s="882">
        <v>3.43159415816337</v>
      </c>
      <c r="P168" s="881">
        <v>2.1682211845111836</v>
      </c>
      <c r="Q168" s="881">
        <v>1.2633729736521859</v>
      </c>
      <c r="R168" s="881" t="s">
        <v>452</v>
      </c>
      <c r="S168" s="883"/>
      <c r="T168" s="882">
        <v>1.173741782953889</v>
      </c>
      <c r="U168" s="881" t="s">
        <v>452</v>
      </c>
      <c r="V168" s="884"/>
      <c r="W168" s="881">
        <v>1.173741782953889</v>
      </c>
      <c r="X168" s="881">
        <v>0</v>
      </c>
      <c r="Z168" s="1147"/>
      <c r="AC168" s="1148"/>
      <c r="AD168" s="1149"/>
      <c r="AF168" s="1151"/>
      <c r="AG168" s="1152"/>
      <c r="AH168" s="1152"/>
      <c r="AI168" s="1152"/>
      <c r="AJ168" s="1153"/>
      <c r="AK168" s="1151"/>
      <c r="AL168" s="1152"/>
      <c r="AM168" s="1154"/>
      <c r="AN168" s="1152"/>
      <c r="AO168" s="1152"/>
      <c r="AP168" s="1155"/>
      <c r="AQ168" s="1155"/>
      <c r="AR168" s="1151"/>
      <c r="AS168" s="1152"/>
      <c r="AT168" s="1152"/>
      <c r="AU168" s="1152"/>
      <c r="AV168" s="1153"/>
      <c r="AW168" s="1151"/>
      <c r="AX168" s="1152"/>
      <c r="AY168" s="1154"/>
      <c r="AZ168" s="1152"/>
      <c r="BA168" s="1152"/>
    </row>
    <row r="169" spans="1:53">
      <c r="A169" s="764"/>
      <c r="B169" s="562" t="s">
        <v>552</v>
      </c>
      <c r="C169" s="896">
        <v>2.5109136596508708</v>
      </c>
      <c r="D169" s="881">
        <v>0.20575013296076938</v>
      </c>
      <c r="E169" s="881">
        <v>2.3051635266901012</v>
      </c>
      <c r="F169" s="881">
        <v>0.3143404809122865</v>
      </c>
      <c r="G169" s="883"/>
      <c r="H169" s="882" t="s">
        <v>452</v>
      </c>
      <c r="I169" s="881" t="s">
        <v>452</v>
      </c>
      <c r="J169" s="884"/>
      <c r="K169" s="881" t="s">
        <v>452</v>
      </c>
      <c r="L169" s="881" t="s">
        <v>452</v>
      </c>
      <c r="M169" s="479"/>
      <c r="N169" s="479"/>
      <c r="O169" s="882">
        <v>2.4514108377373729</v>
      </c>
      <c r="P169" s="881">
        <v>0.20087433268257682</v>
      </c>
      <c r="Q169" s="881">
        <v>2.2505365050547956</v>
      </c>
      <c r="R169" s="881">
        <v>0.30689134159838122</v>
      </c>
      <c r="S169" s="883"/>
      <c r="T169" s="882" t="s">
        <v>452</v>
      </c>
      <c r="U169" s="881" t="s">
        <v>452</v>
      </c>
      <c r="V169" s="884"/>
      <c r="W169" s="881" t="s">
        <v>452</v>
      </c>
      <c r="X169" s="881" t="s">
        <v>452</v>
      </c>
      <c r="Z169" s="1147"/>
      <c r="AC169" s="1148"/>
      <c r="AD169" s="1149"/>
      <c r="AF169" s="1151"/>
      <c r="AG169" s="1152"/>
      <c r="AH169" s="1152"/>
      <c r="AI169" s="1152"/>
      <c r="AJ169" s="1153"/>
      <c r="AK169" s="1151"/>
      <c r="AL169" s="1152"/>
      <c r="AM169" s="1154"/>
      <c r="AN169" s="1152"/>
      <c r="AO169" s="1152"/>
      <c r="AP169" s="1155"/>
      <c r="AQ169" s="1155"/>
      <c r="AR169" s="1151"/>
      <c r="AS169" s="1152"/>
      <c r="AT169" s="1152"/>
      <c r="AU169" s="1152"/>
      <c r="AV169" s="1153"/>
      <c r="AW169" s="1151"/>
      <c r="AX169" s="1152"/>
      <c r="AY169" s="1154"/>
      <c r="AZ169" s="1152"/>
      <c r="BA169" s="1152"/>
    </row>
    <row r="170" spans="1:53">
      <c r="A170" s="764"/>
      <c r="B170" s="562" t="s">
        <v>1104</v>
      </c>
      <c r="C170" s="896">
        <v>2.0712673244871121E-2</v>
      </c>
      <c r="D170" s="881">
        <v>6.9042244149570406E-3</v>
      </c>
      <c r="E170" s="881">
        <v>1.3808448829914079E-2</v>
      </c>
      <c r="F170" s="881" t="s">
        <v>452</v>
      </c>
      <c r="G170" s="883"/>
      <c r="H170" s="882" t="s">
        <v>452</v>
      </c>
      <c r="I170" s="881" t="s">
        <v>452</v>
      </c>
      <c r="J170" s="884"/>
      <c r="K170" s="881" t="s">
        <v>452</v>
      </c>
      <c r="L170" s="881" t="s">
        <v>452</v>
      </c>
      <c r="M170" s="479"/>
      <c r="N170" s="479"/>
      <c r="O170" s="882">
        <v>10.441765007350371</v>
      </c>
      <c r="P170" s="881">
        <v>3.4805883357834571</v>
      </c>
      <c r="Q170" s="881">
        <v>6.9611766715669123</v>
      </c>
      <c r="R170" s="881" t="s">
        <v>452</v>
      </c>
      <c r="S170" s="883"/>
      <c r="T170" s="882" t="s">
        <v>452</v>
      </c>
      <c r="U170" s="881" t="s">
        <v>452</v>
      </c>
      <c r="V170" s="884"/>
      <c r="W170" s="881" t="s">
        <v>452</v>
      </c>
      <c r="X170" s="881" t="s">
        <v>452</v>
      </c>
      <c r="Z170" s="1147"/>
      <c r="AC170" s="1148"/>
      <c r="AD170" s="1149"/>
      <c r="AF170" s="1151"/>
      <c r="AG170" s="1152"/>
      <c r="AH170" s="1152"/>
      <c r="AI170" s="1152"/>
      <c r="AJ170" s="1153"/>
      <c r="AK170" s="1151"/>
      <c r="AL170" s="1152"/>
      <c r="AM170" s="1154"/>
      <c r="AN170" s="1152"/>
      <c r="AO170" s="1152"/>
      <c r="AP170" s="1155"/>
      <c r="AQ170" s="1155"/>
      <c r="AR170" s="1151"/>
      <c r="AS170" s="1152"/>
      <c r="AT170" s="1152"/>
      <c r="AU170" s="1152"/>
      <c r="AV170" s="1153"/>
      <c r="AW170" s="1151"/>
      <c r="AX170" s="1152"/>
      <c r="AY170" s="1154"/>
      <c r="AZ170" s="1152"/>
      <c r="BA170" s="1152"/>
    </row>
    <row r="171" spans="1:53">
      <c r="A171" s="562"/>
      <c r="B171" s="562" t="s">
        <v>1105</v>
      </c>
      <c r="C171" s="896">
        <v>0.45600000000000002</v>
      </c>
      <c r="D171" s="881">
        <v>2.5000000000000001E-2</v>
      </c>
      <c r="E171" s="881">
        <v>0.43099999999999999</v>
      </c>
      <c r="F171" s="881" t="s">
        <v>452</v>
      </c>
      <c r="G171" s="883"/>
      <c r="H171" s="882" t="s">
        <v>452</v>
      </c>
      <c r="I171" s="881" t="s">
        <v>452</v>
      </c>
      <c r="J171" s="884"/>
      <c r="K171" s="881" t="s">
        <v>452</v>
      </c>
      <c r="L171" s="881" t="s">
        <v>452</v>
      </c>
      <c r="M171" s="479"/>
      <c r="N171" s="479"/>
      <c r="O171" s="882">
        <v>6.1</v>
      </c>
      <c r="P171" s="881">
        <v>0.3</v>
      </c>
      <c r="Q171" s="881">
        <v>5.8</v>
      </c>
      <c r="R171" s="881" t="s">
        <v>452</v>
      </c>
      <c r="S171" s="883"/>
      <c r="T171" s="882" t="s">
        <v>452</v>
      </c>
      <c r="U171" s="881" t="s">
        <v>452</v>
      </c>
      <c r="V171" s="884"/>
      <c r="W171" s="881" t="s">
        <v>452</v>
      </c>
      <c r="X171" s="881" t="s">
        <v>452</v>
      </c>
      <c r="Z171" s="1147"/>
      <c r="AB171" s="1172"/>
      <c r="AC171" s="1148"/>
      <c r="AD171" s="1149"/>
      <c r="AF171" s="1151"/>
      <c r="AG171" s="1152"/>
      <c r="AH171" s="1152"/>
      <c r="AI171" s="1152"/>
      <c r="AJ171" s="1153"/>
      <c r="AK171" s="1151"/>
      <c r="AL171" s="1152"/>
      <c r="AM171" s="1154"/>
      <c r="AN171" s="1152"/>
      <c r="AO171" s="1152"/>
      <c r="AP171" s="1155"/>
      <c r="AQ171" s="1155"/>
      <c r="AR171" s="1151"/>
      <c r="AS171" s="1152"/>
      <c r="AT171" s="1152"/>
      <c r="AU171" s="1152"/>
      <c r="AV171" s="1153"/>
      <c r="AW171" s="1151"/>
      <c r="AX171" s="1152"/>
      <c r="AY171" s="1154"/>
      <c r="AZ171" s="1152"/>
      <c r="BA171" s="1152"/>
    </row>
    <row r="172" spans="1:53">
      <c r="A172" s="764"/>
      <c r="B172" s="562" t="s">
        <v>1106</v>
      </c>
      <c r="C172" s="896">
        <v>1.7167277446225499E-2</v>
      </c>
      <c r="D172" s="881">
        <v>1.70016766991558E-2</v>
      </c>
      <c r="E172" s="881">
        <v>1.6560074706969933E-4</v>
      </c>
      <c r="F172" s="881" t="s">
        <v>452</v>
      </c>
      <c r="G172" s="883"/>
      <c r="H172" s="882" t="s">
        <v>452</v>
      </c>
      <c r="I172" s="881" t="s">
        <v>452</v>
      </c>
      <c r="J172" s="884"/>
      <c r="K172" s="881" t="s">
        <v>452</v>
      </c>
      <c r="L172" s="881" t="s">
        <v>452</v>
      </c>
      <c r="M172" s="479"/>
      <c r="N172" s="479"/>
      <c r="O172" s="882">
        <v>9.121698970399475E-2</v>
      </c>
      <c r="P172" s="881">
        <v>9.0337083050901559E-2</v>
      </c>
      <c r="Q172" s="881">
        <v>8.79906653093197E-4</v>
      </c>
      <c r="R172" s="881" t="s">
        <v>452</v>
      </c>
      <c r="S172" s="883"/>
      <c r="T172" s="882" t="s">
        <v>452</v>
      </c>
      <c r="U172" s="881" t="s">
        <v>452</v>
      </c>
      <c r="V172" s="884"/>
      <c r="W172" s="881" t="s">
        <v>452</v>
      </c>
      <c r="X172" s="881" t="s">
        <v>452</v>
      </c>
      <c r="Z172" s="1147"/>
      <c r="AC172" s="1148"/>
      <c r="AD172" s="1149"/>
      <c r="AF172" s="1151"/>
      <c r="AG172" s="1152"/>
      <c r="AH172" s="1152"/>
      <c r="AI172" s="1152"/>
      <c r="AJ172" s="1153"/>
      <c r="AK172" s="1151"/>
      <c r="AL172" s="1152"/>
      <c r="AM172" s="1154"/>
      <c r="AN172" s="1152"/>
      <c r="AO172" s="1152"/>
      <c r="AP172" s="1155"/>
      <c r="AQ172" s="1155"/>
      <c r="AR172" s="1151"/>
      <c r="AS172" s="1152"/>
      <c r="AT172" s="1152"/>
      <c r="AU172" s="1152"/>
      <c r="AV172" s="1153"/>
      <c r="AW172" s="1151"/>
      <c r="AX172" s="1152"/>
      <c r="AY172" s="1154"/>
      <c r="AZ172" s="1152"/>
      <c r="BA172" s="1152"/>
    </row>
    <row r="173" spans="1:53">
      <c r="A173" s="764"/>
      <c r="B173" s="562" t="s">
        <v>1107</v>
      </c>
      <c r="C173" s="896">
        <v>0.11109363662436215</v>
      </c>
      <c r="D173" s="881">
        <v>4.281735300578024E-2</v>
      </c>
      <c r="E173" s="881">
        <v>6.8276283618581915E-2</v>
      </c>
      <c r="F173" s="881" t="s">
        <v>452</v>
      </c>
      <c r="G173" s="883"/>
      <c r="H173" s="882">
        <v>2.7588113298475585E-2</v>
      </c>
      <c r="I173" s="881" t="s">
        <v>452</v>
      </c>
      <c r="J173" s="884"/>
      <c r="K173" s="881">
        <v>2.7500509268690215E-2</v>
      </c>
      <c r="L173" s="881">
        <v>8.7604029785370131E-5</v>
      </c>
      <c r="M173" s="479"/>
      <c r="N173" s="479"/>
      <c r="O173" s="882">
        <v>3.6762020693852713</v>
      </c>
      <c r="P173" s="881">
        <v>0.27693244065733413</v>
      </c>
      <c r="Q173" s="881">
        <v>3.3992696287279371</v>
      </c>
      <c r="R173" s="881" t="s">
        <v>452</v>
      </c>
      <c r="S173" s="883"/>
      <c r="T173" s="882" t="s">
        <v>452</v>
      </c>
      <c r="U173" s="881" t="s">
        <v>452</v>
      </c>
      <c r="V173" s="884"/>
      <c r="W173" s="881">
        <v>0</v>
      </c>
      <c r="X173" s="881" t="s">
        <v>452</v>
      </c>
      <c r="Z173" s="1147"/>
      <c r="AC173" s="1148"/>
      <c r="AD173" s="1149"/>
      <c r="AF173" s="1151"/>
      <c r="AG173" s="1152"/>
      <c r="AH173" s="1152"/>
      <c r="AI173" s="1152"/>
      <c r="AJ173" s="1153"/>
      <c r="AK173" s="1151"/>
      <c r="AL173" s="1152"/>
      <c r="AM173" s="1154"/>
      <c r="AN173" s="1152"/>
      <c r="AO173" s="1152"/>
      <c r="AP173" s="1155"/>
      <c r="AQ173" s="1155"/>
      <c r="AR173" s="1151"/>
      <c r="AS173" s="1152"/>
      <c r="AT173" s="1152"/>
      <c r="AU173" s="1152"/>
      <c r="AV173" s="1153"/>
      <c r="AW173" s="1151"/>
      <c r="AX173" s="1152"/>
      <c r="AY173" s="1154"/>
      <c r="AZ173" s="1152"/>
      <c r="BA173" s="1152"/>
    </row>
    <row r="174" spans="1:53">
      <c r="A174" s="562"/>
      <c r="B174" s="562" t="s">
        <v>1108</v>
      </c>
      <c r="C174" s="896">
        <v>0.2</v>
      </c>
      <c r="D174" s="881">
        <v>0</v>
      </c>
      <c r="E174" s="881">
        <v>0.2</v>
      </c>
      <c r="F174" s="881" t="s">
        <v>452</v>
      </c>
      <c r="G174" s="883"/>
      <c r="H174" s="882" t="s">
        <v>452</v>
      </c>
      <c r="I174" s="881" t="s">
        <v>452</v>
      </c>
      <c r="J174" s="884"/>
      <c r="K174" s="881" t="s">
        <v>452</v>
      </c>
      <c r="L174" s="881" t="s">
        <v>452</v>
      </c>
      <c r="M174" s="479"/>
      <c r="N174" s="479"/>
      <c r="O174" s="882">
        <v>6.1</v>
      </c>
      <c r="P174" s="881">
        <v>0.6</v>
      </c>
      <c r="Q174" s="881">
        <v>5.5</v>
      </c>
      <c r="R174" s="881" t="s">
        <v>452</v>
      </c>
      <c r="S174" s="883"/>
      <c r="T174" s="882" t="s">
        <v>452</v>
      </c>
      <c r="U174" s="881" t="s">
        <v>452</v>
      </c>
      <c r="V174" s="884"/>
      <c r="W174" s="881" t="s">
        <v>452</v>
      </c>
      <c r="X174" s="881" t="s">
        <v>452</v>
      </c>
      <c r="Z174" s="1147"/>
      <c r="AB174" s="1172"/>
      <c r="AC174" s="1148"/>
      <c r="AD174" s="1149"/>
      <c r="AF174" s="1151"/>
      <c r="AG174" s="1152"/>
      <c r="AH174" s="1152"/>
      <c r="AI174" s="1152"/>
      <c r="AJ174" s="1153"/>
      <c r="AK174" s="1151"/>
      <c r="AL174" s="1152"/>
      <c r="AM174" s="1154"/>
      <c r="AN174" s="1152"/>
      <c r="AO174" s="1152"/>
      <c r="AP174" s="1155"/>
      <c r="AQ174" s="1155"/>
      <c r="AR174" s="1151"/>
      <c r="AS174" s="1152"/>
      <c r="AT174" s="1152"/>
      <c r="AU174" s="1152"/>
      <c r="AV174" s="1153"/>
      <c r="AW174" s="1151"/>
      <c r="AX174" s="1152"/>
      <c r="AY174" s="1154"/>
      <c r="AZ174" s="1152"/>
      <c r="BA174" s="1152"/>
    </row>
    <row r="175" spans="1:53">
      <c r="A175" s="764"/>
      <c r="B175" s="562" t="s">
        <v>91</v>
      </c>
      <c r="C175" s="896">
        <v>0.1235944371282357</v>
      </c>
      <c r="D175" s="881">
        <v>5.0992046430132762E-2</v>
      </c>
      <c r="E175" s="881">
        <v>7.2602390698102939E-2</v>
      </c>
      <c r="F175" s="881" t="s">
        <v>452</v>
      </c>
      <c r="G175" s="883"/>
      <c r="H175" s="882" t="s">
        <v>452</v>
      </c>
      <c r="I175" s="881" t="s">
        <v>452</v>
      </c>
      <c r="J175" s="884"/>
      <c r="K175" s="881" t="s">
        <v>452</v>
      </c>
      <c r="L175" s="881" t="s">
        <v>452</v>
      </c>
      <c r="M175" s="479"/>
      <c r="N175" s="479"/>
      <c r="O175" s="882">
        <v>1.0417274017390141</v>
      </c>
      <c r="P175" s="881">
        <v>0.37395342626528716</v>
      </c>
      <c r="Q175" s="881">
        <v>0.66777397547372697</v>
      </c>
      <c r="R175" s="881" t="s">
        <v>452</v>
      </c>
      <c r="S175" s="883"/>
      <c r="T175" s="882" t="s">
        <v>452</v>
      </c>
      <c r="U175" s="881" t="s">
        <v>452</v>
      </c>
      <c r="V175" s="884"/>
      <c r="W175" s="881" t="s">
        <v>452</v>
      </c>
      <c r="X175" s="881" t="s">
        <v>452</v>
      </c>
      <c r="Z175" s="1147"/>
      <c r="AC175" s="1148"/>
      <c r="AD175" s="1149"/>
      <c r="AF175" s="1151"/>
      <c r="AG175" s="1152"/>
      <c r="AH175" s="1152"/>
      <c r="AI175" s="1152"/>
      <c r="AJ175" s="1153"/>
      <c r="AK175" s="1151"/>
      <c r="AL175" s="1152"/>
      <c r="AM175" s="1154"/>
      <c r="AN175" s="1152"/>
      <c r="AO175" s="1152"/>
      <c r="AP175" s="1155"/>
      <c r="AQ175" s="1155"/>
      <c r="AR175" s="1151"/>
      <c r="AS175" s="1152"/>
      <c r="AT175" s="1152"/>
      <c r="AU175" s="1152"/>
      <c r="AV175" s="1153"/>
      <c r="AW175" s="1151"/>
      <c r="AX175" s="1152"/>
      <c r="AY175" s="1154"/>
      <c r="AZ175" s="1152"/>
      <c r="BA175" s="1152"/>
    </row>
    <row r="176" spans="1:53">
      <c r="A176" s="764"/>
      <c r="B176" s="562" t="s">
        <v>1109</v>
      </c>
      <c r="C176" s="896">
        <v>6.4287878709698737E-2</v>
      </c>
      <c r="D176" s="881">
        <v>4.7311817033511498E-2</v>
      </c>
      <c r="E176" s="881">
        <v>1.6976061676187239E-2</v>
      </c>
      <c r="F176" s="881" t="s">
        <v>452</v>
      </c>
      <c r="G176" s="883"/>
      <c r="H176" s="882" t="s">
        <v>452</v>
      </c>
      <c r="I176" s="881" t="s">
        <v>452</v>
      </c>
      <c r="J176" s="884"/>
      <c r="K176" s="881" t="s">
        <v>452</v>
      </c>
      <c r="L176" s="881" t="s">
        <v>452</v>
      </c>
      <c r="M176" s="479"/>
      <c r="N176" s="479"/>
      <c r="O176" s="882">
        <v>0.54018655176844665</v>
      </c>
      <c r="P176" s="881">
        <v>0.39980947049649568</v>
      </c>
      <c r="Q176" s="881">
        <v>0.14037708127195098</v>
      </c>
      <c r="R176" s="881" t="s">
        <v>452</v>
      </c>
      <c r="S176" s="883"/>
      <c r="T176" s="882" t="s">
        <v>452</v>
      </c>
      <c r="U176" s="881" t="s">
        <v>452</v>
      </c>
      <c r="V176" s="884"/>
      <c r="W176" s="881" t="s">
        <v>452</v>
      </c>
      <c r="X176" s="881" t="s">
        <v>452</v>
      </c>
      <c r="Z176" s="1147"/>
      <c r="AC176" s="1148"/>
      <c r="AD176" s="1149"/>
      <c r="AF176" s="1151"/>
      <c r="AG176" s="1152"/>
      <c r="AH176" s="1152"/>
      <c r="AI176" s="1152"/>
      <c r="AJ176" s="1153"/>
      <c r="AK176" s="1151"/>
      <c r="AL176" s="1152"/>
      <c r="AM176" s="1154"/>
      <c r="AN176" s="1152"/>
      <c r="AO176" s="1152"/>
      <c r="AP176" s="1155"/>
      <c r="AQ176" s="1155"/>
      <c r="AR176" s="1151"/>
      <c r="AS176" s="1152"/>
      <c r="AT176" s="1152"/>
      <c r="AU176" s="1152"/>
      <c r="AV176" s="1153"/>
      <c r="AW176" s="1151"/>
      <c r="AX176" s="1152"/>
      <c r="AY176" s="1154"/>
      <c r="AZ176" s="1152"/>
      <c r="BA176" s="1152"/>
    </row>
    <row r="177" spans="1:54">
      <c r="A177" s="764"/>
      <c r="B177" s="562" t="s">
        <v>1110</v>
      </c>
      <c r="C177" s="896">
        <v>0.56371884503226599</v>
      </c>
      <c r="D177" s="881">
        <v>0.12527085445161465</v>
      </c>
      <c r="E177" s="881">
        <v>0.43844799058065131</v>
      </c>
      <c r="F177" s="881">
        <v>0</v>
      </c>
      <c r="G177" s="883"/>
      <c r="H177" s="882">
        <v>3.4797459569892962E-2</v>
      </c>
      <c r="I177" s="881" t="s">
        <v>452</v>
      </c>
      <c r="J177" s="884"/>
      <c r="K177" s="881">
        <v>3.4797459569892962E-2</v>
      </c>
      <c r="L177" s="881" t="s">
        <v>452</v>
      </c>
      <c r="M177" s="479"/>
      <c r="N177" s="479"/>
      <c r="O177" s="882">
        <v>3.2228193780649277</v>
      </c>
      <c r="P177" s="881">
        <v>0.71618208401442829</v>
      </c>
      <c r="Q177" s="881">
        <v>2.5066372940504991</v>
      </c>
      <c r="R177" s="881">
        <v>0</v>
      </c>
      <c r="S177" s="883"/>
      <c r="T177" s="882">
        <v>0.19893946778178564</v>
      </c>
      <c r="U177" s="881" t="s">
        <v>452</v>
      </c>
      <c r="V177" s="884"/>
      <c r="W177" s="881">
        <v>0.19893946778178564</v>
      </c>
      <c r="X177" s="881" t="s">
        <v>452</v>
      </c>
      <c r="Z177" s="1147"/>
      <c r="AC177" s="1148"/>
      <c r="AD177" s="1149"/>
      <c r="AF177" s="1151"/>
      <c r="AG177" s="1152"/>
      <c r="AH177" s="1152"/>
      <c r="AI177" s="1152"/>
      <c r="AJ177" s="1153"/>
      <c r="AK177" s="1151"/>
      <c r="AL177" s="1152"/>
      <c r="AM177" s="1154"/>
      <c r="AN177" s="1152"/>
      <c r="AO177" s="1152"/>
      <c r="AP177" s="1155"/>
      <c r="AQ177" s="1155"/>
      <c r="AR177" s="1151"/>
      <c r="AS177" s="1152"/>
      <c r="AT177" s="1152"/>
      <c r="AU177" s="1152"/>
      <c r="AV177" s="1153"/>
      <c r="AW177" s="1151"/>
      <c r="AX177" s="1152"/>
      <c r="AY177" s="1154"/>
      <c r="AZ177" s="1152"/>
      <c r="BA177" s="1152"/>
    </row>
    <row r="178" spans="1:54">
      <c r="A178" s="764"/>
      <c r="B178" s="562" t="s">
        <v>1111</v>
      </c>
      <c r="C178" s="896">
        <v>0.40497667185069974</v>
      </c>
      <c r="D178" s="881">
        <v>6.0608753610308819E-2</v>
      </c>
      <c r="E178" s="881">
        <v>0.34436791824039098</v>
      </c>
      <c r="F178" s="881" t="s">
        <v>452</v>
      </c>
      <c r="G178" s="883"/>
      <c r="H178" s="882" t="s">
        <v>452</v>
      </c>
      <c r="I178" s="881" t="s">
        <v>452</v>
      </c>
      <c r="J178" s="884"/>
      <c r="K178" s="881" t="s">
        <v>452</v>
      </c>
      <c r="L178" s="881" t="s">
        <v>452</v>
      </c>
      <c r="M178" s="479"/>
      <c r="N178" s="479"/>
      <c r="O178" s="882">
        <v>4.9933930955300641</v>
      </c>
      <c r="P178" s="881">
        <v>0.74731053130381919</v>
      </c>
      <c r="Q178" s="881">
        <v>4.2460825642262447</v>
      </c>
      <c r="R178" s="881" t="s">
        <v>452</v>
      </c>
      <c r="S178" s="883"/>
      <c r="T178" s="882" t="s">
        <v>452</v>
      </c>
      <c r="U178" s="881" t="s">
        <v>452</v>
      </c>
      <c r="V178" s="884"/>
      <c r="W178" s="881" t="s">
        <v>452</v>
      </c>
      <c r="X178" s="881" t="s">
        <v>452</v>
      </c>
      <c r="Z178" s="1147"/>
      <c r="AC178" s="1148"/>
      <c r="AD178" s="1149"/>
      <c r="AF178" s="1151"/>
      <c r="AG178" s="1152"/>
      <c r="AH178" s="1152"/>
      <c r="AI178" s="1152"/>
      <c r="AJ178" s="1153"/>
      <c r="AK178" s="1151"/>
      <c r="AL178" s="1152"/>
      <c r="AM178" s="1154"/>
      <c r="AN178" s="1152"/>
      <c r="AO178" s="1152"/>
      <c r="AP178" s="1155"/>
      <c r="AQ178" s="1155"/>
      <c r="AR178" s="1151"/>
      <c r="AS178" s="1152"/>
      <c r="AT178" s="1152"/>
      <c r="AU178" s="1152"/>
      <c r="AV178" s="1153"/>
      <c r="AW178" s="1151"/>
      <c r="AX178" s="1152"/>
      <c r="AY178" s="1154"/>
      <c r="AZ178" s="1152"/>
      <c r="BA178" s="1152"/>
    </row>
    <row r="179" spans="1:54">
      <c r="A179" s="764"/>
      <c r="B179" s="562" t="s">
        <v>1112</v>
      </c>
      <c r="C179" s="896">
        <v>0.2</v>
      </c>
      <c r="D179" s="881">
        <v>0.23668661825815965</v>
      </c>
      <c r="E179" s="881">
        <v>-3.6686618258159637E-2</v>
      </c>
      <c r="F179" s="881" t="s">
        <v>452</v>
      </c>
      <c r="G179" s="883"/>
      <c r="H179" s="882" t="s">
        <v>452</v>
      </c>
      <c r="I179" s="881">
        <v>0</v>
      </c>
      <c r="J179" s="884"/>
      <c r="K179" s="881">
        <v>0</v>
      </c>
      <c r="L179" s="881" t="s">
        <v>452</v>
      </c>
      <c r="M179" s="479"/>
      <c r="N179" s="479"/>
      <c r="O179" s="882">
        <v>1.4</v>
      </c>
      <c r="P179" s="881">
        <v>0.4</v>
      </c>
      <c r="Q179" s="881">
        <v>0.99999999999999989</v>
      </c>
      <c r="R179" s="881" t="s">
        <v>452</v>
      </c>
      <c r="S179" s="883"/>
      <c r="T179" s="882" t="s">
        <v>452</v>
      </c>
      <c r="U179" s="881">
        <v>0</v>
      </c>
      <c r="V179" s="884"/>
      <c r="W179" s="881">
        <v>0</v>
      </c>
      <c r="X179" s="881" t="s">
        <v>452</v>
      </c>
      <c r="Z179" s="1147"/>
      <c r="AC179" s="1148"/>
      <c r="AD179" s="1149"/>
      <c r="AF179" s="1151"/>
      <c r="AG179" s="1152"/>
      <c r="AH179" s="1152"/>
      <c r="AI179" s="1152"/>
      <c r="AJ179" s="1153"/>
      <c r="AK179" s="1151"/>
      <c r="AL179" s="1152"/>
      <c r="AM179" s="1154"/>
      <c r="AN179" s="1152"/>
      <c r="AO179" s="1152"/>
      <c r="AP179" s="1155"/>
      <c r="AQ179" s="1155"/>
      <c r="AR179" s="1151"/>
      <c r="AS179" s="1152"/>
      <c r="AT179" s="1152"/>
      <c r="AU179" s="1152"/>
      <c r="AV179" s="1153"/>
      <c r="AW179" s="1151"/>
      <c r="AX179" s="1152"/>
      <c r="AY179" s="1154"/>
      <c r="AZ179" s="1152"/>
      <c r="BA179" s="1152"/>
    </row>
    <row r="180" spans="1:54" s="481" customFormat="1">
      <c r="A180" s="717"/>
      <c r="B180" s="562" t="s">
        <v>1113</v>
      </c>
      <c r="C180" s="896">
        <v>0.65900000000000003</v>
      </c>
      <c r="D180" s="881">
        <v>0.14599999999999999</v>
      </c>
      <c r="E180" s="881">
        <v>0.51300000000000001</v>
      </c>
      <c r="F180" s="881"/>
      <c r="G180" s="883"/>
      <c r="H180" s="882">
        <v>2.4E-2</v>
      </c>
      <c r="I180" s="881">
        <v>2.4E-2</v>
      </c>
      <c r="J180" s="884"/>
      <c r="K180" s="881" t="s">
        <v>452</v>
      </c>
      <c r="L180" s="881" t="s">
        <v>452</v>
      </c>
      <c r="M180" s="479"/>
      <c r="N180" s="479"/>
      <c r="O180" s="882">
        <v>4.6985081203835222</v>
      </c>
      <c r="P180" s="881">
        <v>1</v>
      </c>
      <c r="Q180" s="881">
        <v>3.6985081203835222</v>
      </c>
      <c r="R180" s="881"/>
      <c r="S180" s="883"/>
      <c r="T180" s="882">
        <v>0.17045454545454547</v>
      </c>
      <c r="U180" s="881">
        <v>0.17045454545454547</v>
      </c>
      <c r="V180" s="884"/>
      <c r="W180" s="881" t="s">
        <v>452</v>
      </c>
      <c r="X180" s="881" t="s">
        <v>452</v>
      </c>
      <c r="Z180" s="1147"/>
      <c r="AA180" s="1165"/>
      <c r="AB180" s="1165"/>
      <c r="AC180" s="1148"/>
      <c r="AD180" s="1149"/>
      <c r="AE180" s="1165"/>
      <c r="AF180" s="1167"/>
      <c r="AG180" s="1168"/>
      <c r="AH180" s="1168"/>
      <c r="AI180" s="1168"/>
      <c r="AJ180" s="1169"/>
      <c r="AK180" s="1167"/>
      <c r="AL180" s="1168"/>
      <c r="AM180" s="1170"/>
      <c r="AN180" s="1168"/>
      <c r="AO180" s="1168"/>
      <c r="AP180" s="1171"/>
      <c r="AQ180" s="1171"/>
      <c r="AR180" s="1167"/>
      <c r="AS180" s="1168"/>
      <c r="AT180" s="1168"/>
      <c r="AU180" s="1168"/>
      <c r="AV180" s="1169"/>
      <c r="AW180" s="1167"/>
      <c r="AX180" s="1168"/>
      <c r="AY180" s="1170"/>
      <c r="AZ180" s="1168"/>
      <c r="BA180" s="1168"/>
      <c r="BB180" s="1165"/>
    </row>
    <row r="181" spans="1:54">
      <c r="A181" s="764"/>
      <c r="B181" s="562" t="s">
        <v>912</v>
      </c>
      <c r="C181" s="896">
        <v>0.58733903180831615</v>
      </c>
      <c r="D181" s="881">
        <v>0.13059822221699338</v>
      </c>
      <c r="E181" s="881">
        <v>0.45674080959132279</v>
      </c>
      <c r="F181" s="881" t="s">
        <v>452</v>
      </c>
      <c r="G181" s="883"/>
      <c r="H181" s="882">
        <v>0.21178090089242169</v>
      </c>
      <c r="I181" s="881">
        <v>0.21178090089242169</v>
      </c>
      <c r="J181" s="884"/>
      <c r="K181" s="881" t="s">
        <v>452</v>
      </c>
      <c r="L181" s="881" t="s">
        <v>452</v>
      </c>
      <c r="M181" s="479"/>
      <c r="N181" s="479"/>
      <c r="O181" s="882">
        <v>0.72281351560912455</v>
      </c>
      <c r="P181" s="881">
        <v>0.16072175527366353</v>
      </c>
      <c r="Q181" s="881">
        <v>0.56209176033546104</v>
      </c>
      <c r="R181" s="881" t="s">
        <v>452</v>
      </c>
      <c r="S181" s="883"/>
      <c r="T181" s="882">
        <v>0.26062987341675165</v>
      </c>
      <c r="U181" s="881">
        <v>0.26062987341675165</v>
      </c>
      <c r="V181" s="884"/>
      <c r="W181" s="881" t="s">
        <v>452</v>
      </c>
      <c r="X181" s="881" t="s">
        <v>452</v>
      </c>
      <c r="Z181" s="1147"/>
      <c r="AC181" s="1148"/>
      <c r="AD181" s="1149"/>
      <c r="AF181" s="1151"/>
      <c r="AG181" s="1152"/>
      <c r="AH181" s="1152"/>
      <c r="AI181" s="1152"/>
      <c r="AJ181" s="1153"/>
      <c r="AK181" s="1151"/>
      <c r="AL181" s="1152"/>
      <c r="AM181" s="1154"/>
      <c r="AN181" s="1152"/>
      <c r="AO181" s="1152"/>
      <c r="AP181" s="1155"/>
      <c r="AQ181" s="1155"/>
      <c r="AR181" s="1151"/>
      <c r="AS181" s="1152"/>
      <c r="AT181" s="1152"/>
      <c r="AU181" s="1152"/>
      <c r="AV181" s="1153"/>
      <c r="AW181" s="1151"/>
      <c r="AX181" s="1152"/>
      <c r="AY181" s="1154"/>
      <c r="AZ181" s="1152"/>
      <c r="BA181" s="1152"/>
    </row>
    <row r="182" spans="1:54">
      <c r="A182" s="764"/>
      <c r="B182" s="562" t="s">
        <v>914</v>
      </c>
      <c r="C182" s="896"/>
      <c r="D182" s="881"/>
      <c r="E182" s="881"/>
      <c r="F182" s="881"/>
      <c r="G182" s="883"/>
      <c r="H182" s="882"/>
      <c r="I182" s="881"/>
      <c r="J182" s="884"/>
      <c r="K182" s="881"/>
      <c r="L182" s="881"/>
      <c r="M182" s="479"/>
      <c r="N182" s="479"/>
      <c r="O182" s="896"/>
      <c r="P182" s="881"/>
      <c r="Q182" s="881"/>
      <c r="R182" s="881"/>
      <c r="S182" s="883"/>
      <c r="T182" s="882"/>
      <c r="U182" s="881"/>
      <c r="V182" s="884"/>
      <c r="W182" s="881"/>
      <c r="X182" s="881"/>
      <c r="Z182" s="1147"/>
      <c r="AC182" s="1148"/>
      <c r="AD182" s="1149"/>
      <c r="AF182" s="1151"/>
      <c r="AG182" s="1152"/>
      <c r="AH182" s="1152"/>
      <c r="AI182" s="1152"/>
      <c r="AJ182" s="1153"/>
      <c r="AK182" s="1151"/>
      <c r="AL182" s="1152"/>
      <c r="AM182" s="1154"/>
      <c r="AN182" s="1152"/>
      <c r="AO182" s="1152"/>
      <c r="AP182" s="1155"/>
      <c r="AQ182" s="1155"/>
      <c r="AR182" s="1151"/>
      <c r="AS182" s="1152"/>
      <c r="AT182" s="1152"/>
      <c r="AU182" s="1152"/>
      <c r="AV182" s="1153"/>
      <c r="AW182" s="1151"/>
      <c r="AX182" s="1152"/>
      <c r="AY182" s="1154"/>
      <c r="AZ182" s="1152"/>
      <c r="BA182" s="1152"/>
    </row>
    <row r="183" spans="1:54">
      <c r="A183" s="764"/>
      <c r="B183" s="562" t="s">
        <v>1114</v>
      </c>
      <c r="C183" s="896">
        <v>0.2717288589332218</v>
      </c>
      <c r="D183" s="881">
        <v>1.4616122578083225E-4</v>
      </c>
      <c r="E183" s="881">
        <v>0.27158269770744098</v>
      </c>
      <c r="F183" s="881" t="s">
        <v>452</v>
      </c>
      <c r="G183" s="883"/>
      <c r="H183" s="882" t="s">
        <v>452</v>
      </c>
      <c r="I183" s="881" t="s">
        <v>452</v>
      </c>
      <c r="J183" s="884"/>
      <c r="K183" s="881" t="s">
        <v>452</v>
      </c>
      <c r="L183" s="881" t="s">
        <v>452</v>
      </c>
      <c r="M183" s="479"/>
      <c r="N183" s="479"/>
      <c r="O183" s="882">
        <v>2.1531306233246545</v>
      </c>
      <c r="P183" s="881">
        <v>1.158155274367521E-3</v>
      </c>
      <c r="Q183" s="881">
        <v>2.1519724680502872</v>
      </c>
      <c r="R183" s="881" t="s">
        <v>452</v>
      </c>
      <c r="S183" s="883"/>
      <c r="T183" s="882" t="s">
        <v>452</v>
      </c>
      <c r="U183" s="881" t="s">
        <v>452</v>
      </c>
      <c r="V183" s="884"/>
      <c r="W183" s="881" t="s">
        <v>452</v>
      </c>
      <c r="X183" s="881" t="s">
        <v>452</v>
      </c>
      <c r="Z183" s="1147"/>
      <c r="AC183" s="1148"/>
      <c r="AD183" s="1149"/>
      <c r="AF183" s="1151"/>
      <c r="AG183" s="1152"/>
      <c r="AH183" s="1152"/>
      <c r="AI183" s="1152"/>
      <c r="AJ183" s="1153"/>
      <c r="AK183" s="1151"/>
      <c r="AL183" s="1152"/>
      <c r="AM183" s="1154"/>
      <c r="AN183" s="1152"/>
      <c r="AO183" s="1152"/>
      <c r="AP183" s="1155"/>
      <c r="AQ183" s="1155"/>
      <c r="AR183" s="1151"/>
      <c r="AS183" s="1152"/>
      <c r="AT183" s="1152"/>
      <c r="AU183" s="1152"/>
      <c r="AV183" s="1153"/>
      <c r="AW183" s="1151"/>
      <c r="AX183" s="1152"/>
      <c r="AY183" s="1154"/>
      <c r="AZ183" s="1152"/>
      <c r="BA183" s="1152"/>
    </row>
    <row r="184" spans="1:54">
      <c r="A184" s="764"/>
      <c r="B184" s="562" t="s">
        <v>915</v>
      </c>
      <c r="C184" s="896">
        <v>0.10176470509427343</v>
      </c>
      <c r="D184" s="881">
        <v>4.4801524297786645E-2</v>
      </c>
      <c r="E184" s="881">
        <v>5.6963180796486788E-2</v>
      </c>
      <c r="F184" s="881" t="s">
        <v>452</v>
      </c>
      <c r="G184" s="883"/>
      <c r="H184" s="882">
        <v>0.17398650212732678</v>
      </c>
      <c r="I184" s="881">
        <v>8.6993251063663388E-2</v>
      </c>
      <c r="J184" s="884"/>
      <c r="K184" s="881">
        <v>8.6993251063663388E-2</v>
      </c>
      <c r="L184" s="881" t="s">
        <v>452</v>
      </c>
      <c r="M184" s="479"/>
      <c r="N184" s="479"/>
      <c r="O184" s="882">
        <v>0.73950497267868009</v>
      </c>
      <c r="P184" s="881">
        <v>0.32556425109379405</v>
      </c>
      <c r="Q184" s="881">
        <v>0.4139407215848861</v>
      </c>
      <c r="R184" s="881" t="s">
        <v>452</v>
      </c>
      <c r="S184" s="883"/>
      <c r="T184" s="882">
        <v>1.2643271887137633</v>
      </c>
      <c r="U184" s="881">
        <v>0.63216359435688163</v>
      </c>
      <c r="V184" s="884"/>
      <c r="W184" s="881">
        <v>0.63216359435688163</v>
      </c>
      <c r="X184" s="881" t="s">
        <v>452</v>
      </c>
      <c r="Z184" s="1147"/>
      <c r="AC184" s="1148"/>
      <c r="AD184" s="1149"/>
      <c r="AF184" s="1151"/>
      <c r="AG184" s="1152"/>
      <c r="AH184" s="1152"/>
      <c r="AI184" s="1152"/>
      <c r="AJ184" s="1153"/>
      <c r="AK184" s="1151"/>
      <c r="AL184" s="1152"/>
      <c r="AM184" s="1154"/>
      <c r="AN184" s="1152"/>
      <c r="AO184" s="1152"/>
      <c r="AP184" s="1155"/>
      <c r="AQ184" s="1155"/>
      <c r="AR184" s="1151"/>
      <c r="AS184" s="1152"/>
      <c r="AT184" s="1152"/>
      <c r="AU184" s="1152"/>
      <c r="AV184" s="1153"/>
      <c r="AW184" s="1151"/>
      <c r="AX184" s="1152"/>
      <c r="AY184" s="1154"/>
      <c r="AZ184" s="1152"/>
      <c r="BA184" s="1152"/>
    </row>
    <row r="185" spans="1:54">
      <c r="A185" s="764"/>
      <c r="B185" s="562" t="s">
        <v>29</v>
      </c>
      <c r="C185" s="896">
        <v>10.381162278157996</v>
      </c>
      <c r="D185" s="881">
        <v>6.6034102772300267</v>
      </c>
      <c r="E185" s="881">
        <v>3.7777520009279706</v>
      </c>
      <c r="F185" s="881" t="s">
        <v>452</v>
      </c>
      <c r="G185" s="883"/>
      <c r="H185" s="882" t="s">
        <v>452</v>
      </c>
      <c r="I185" s="881" t="s">
        <v>452</v>
      </c>
      <c r="J185" s="884"/>
      <c r="K185" s="881" t="s">
        <v>452</v>
      </c>
      <c r="L185" s="881" t="s">
        <v>452</v>
      </c>
      <c r="M185" s="479"/>
      <c r="N185" s="479"/>
      <c r="O185" s="882">
        <v>2.4174676981648453</v>
      </c>
      <c r="P185" s="881">
        <v>1.5377402467275443</v>
      </c>
      <c r="Q185" s="881">
        <v>0.8797274514373008</v>
      </c>
      <c r="R185" s="881" t="s">
        <v>452</v>
      </c>
      <c r="S185" s="883"/>
      <c r="T185" s="882" t="s">
        <v>452</v>
      </c>
      <c r="U185" s="881" t="s">
        <v>452</v>
      </c>
      <c r="V185" s="884"/>
      <c r="W185" s="881" t="s">
        <v>452</v>
      </c>
      <c r="X185" s="881" t="s">
        <v>452</v>
      </c>
      <c r="Z185" s="1147"/>
      <c r="AC185" s="1148"/>
      <c r="AD185" s="1149"/>
      <c r="AF185" s="1151"/>
      <c r="AG185" s="1152"/>
      <c r="AH185" s="1152"/>
      <c r="AI185" s="1152"/>
      <c r="AJ185" s="1153"/>
      <c r="AK185" s="1151"/>
      <c r="AL185" s="1152"/>
      <c r="AM185" s="1154"/>
      <c r="AN185" s="1152"/>
      <c r="AO185" s="1152"/>
      <c r="AP185" s="1155"/>
      <c r="AQ185" s="1155"/>
      <c r="AR185" s="1151"/>
      <c r="AS185" s="1152"/>
      <c r="AT185" s="1152"/>
      <c r="AU185" s="1152"/>
      <c r="AV185" s="1153"/>
      <c r="AW185" s="1151"/>
      <c r="AX185" s="1152"/>
      <c r="AY185" s="1154"/>
      <c r="AZ185" s="1152"/>
      <c r="BA185" s="1152"/>
    </row>
    <row r="186" spans="1:54">
      <c r="A186" s="764"/>
      <c r="B186" s="562" t="s">
        <v>1115</v>
      </c>
      <c r="C186" s="896">
        <v>0.52530545149656394</v>
      </c>
      <c r="D186" s="881">
        <v>0.21982891176758385</v>
      </c>
      <c r="E186" s="881">
        <v>0.30547653972898015</v>
      </c>
      <c r="F186" s="881" t="s">
        <v>452</v>
      </c>
      <c r="G186" s="883"/>
      <c r="H186" s="882">
        <v>5.7098418640930869E-2</v>
      </c>
      <c r="I186" s="881" t="s">
        <v>452</v>
      </c>
      <c r="J186" s="884"/>
      <c r="K186" s="881">
        <v>5.7098418640930869E-2</v>
      </c>
      <c r="L186" s="881" t="s">
        <v>452</v>
      </c>
      <c r="M186" s="479"/>
      <c r="N186" s="479"/>
      <c r="O186" s="882">
        <v>2.2565880000890863</v>
      </c>
      <c r="P186" s="881">
        <v>0.94433302177641121</v>
      </c>
      <c r="Q186" s="881">
        <v>1.3122549783126753</v>
      </c>
      <c r="R186" s="881" t="s">
        <v>452</v>
      </c>
      <c r="S186" s="883"/>
      <c r="T186" s="882">
        <v>0.24528130435750939</v>
      </c>
      <c r="U186" s="881" t="s">
        <v>452</v>
      </c>
      <c r="V186" s="884"/>
      <c r="W186" s="881">
        <v>0.24528130435750939</v>
      </c>
      <c r="X186" s="881" t="s">
        <v>452</v>
      </c>
      <c r="Z186" s="1147"/>
      <c r="AC186" s="1148"/>
      <c r="AD186" s="1149"/>
      <c r="AF186" s="1151"/>
      <c r="AG186" s="1152"/>
      <c r="AH186" s="1152"/>
      <c r="AI186" s="1152"/>
      <c r="AJ186" s="1153"/>
      <c r="AK186" s="1151"/>
      <c r="AL186" s="1152"/>
      <c r="AM186" s="1154"/>
      <c r="AN186" s="1152"/>
      <c r="AO186" s="1152"/>
      <c r="AP186" s="1155"/>
      <c r="AQ186" s="1155"/>
      <c r="AR186" s="1151"/>
      <c r="AS186" s="1152"/>
      <c r="AT186" s="1152"/>
      <c r="AU186" s="1152"/>
      <c r="AV186" s="1153"/>
      <c r="AW186" s="1151"/>
      <c r="AX186" s="1152"/>
      <c r="AY186" s="1154"/>
      <c r="AZ186" s="1152"/>
      <c r="BA186" s="1152"/>
    </row>
    <row r="187" spans="1:54">
      <c r="A187" s="764"/>
      <c r="B187" s="562" t="s">
        <v>1116</v>
      </c>
      <c r="C187" s="896">
        <v>1.1000000000000001</v>
      </c>
      <c r="D187" s="881" t="s">
        <v>452</v>
      </c>
      <c r="E187" s="881" t="s">
        <v>452</v>
      </c>
      <c r="F187" s="881" t="s">
        <v>452</v>
      </c>
      <c r="G187" s="883"/>
      <c r="H187" s="882" t="s">
        <v>452</v>
      </c>
      <c r="I187" s="881" t="s">
        <v>452</v>
      </c>
      <c r="J187" s="884"/>
      <c r="K187" s="881">
        <v>0</v>
      </c>
      <c r="L187" s="881" t="s">
        <v>452</v>
      </c>
      <c r="M187" s="479"/>
      <c r="N187" s="479"/>
      <c r="O187" s="882">
        <v>10.1</v>
      </c>
      <c r="P187" s="881" t="s">
        <v>452</v>
      </c>
      <c r="Q187" s="881" t="s">
        <v>452</v>
      </c>
      <c r="R187" s="881" t="s">
        <v>452</v>
      </c>
      <c r="S187" s="883"/>
      <c r="T187" s="882" t="s">
        <v>452</v>
      </c>
      <c r="U187" s="881" t="s">
        <v>452</v>
      </c>
      <c r="V187" s="884"/>
      <c r="W187" s="881">
        <v>0</v>
      </c>
      <c r="X187" s="881" t="s">
        <v>452</v>
      </c>
      <c r="Z187" s="1147"/>
      <c r="AC187" s="1148"/>
      <c r="AD187" s="1149"/>
      <c r="AF187" s="1151"/>
      <c r="AG187" s="1152"/>
      <c r="AH187" s="1152"/>
      <c r="AI187" s="1152"/>
      <c r="AJ187" s="1153"/>
      <c r="AK187" s="1151"/>
      <c r="AL187" s="1152"/>
      <c r="AM187" s="1154"/>
      <c r="AN187" s="1152"/>
      <c r="AO187" s="1152"/>
      <c r="AP187" s="1155"/>
      <c r="AQ187" s="1155"/>
      <c r="AR187" s="1151"/>
      <c r="AS187" s="1152"/>
      <c r="AT187" s="1152"/>
      <c r="AU187" s="1152"/>
      <c r="AV187" s="1153"/>
      <c r="AW187" s="1151"/>
      <c r="AX187" s="1152"/>
      <c r="AY187" s="1154"/>
      <c r="AZ187" s="1152"/>
      <c r="BA187" s="1152"/>
    </row>
    <row r="188" spans="1:54">
      <c r="A188" s="764"/>
      <c r="B188" s="562" t="s">
        <v>1117</v>
      </c>
      <c r="C188" s="896">
        <v>1.257739191941596E-2</v>
      </c>
      <c r="D188" s="881">
        <v>6.0557812945336098E-3</v>
      </c>
      <c r="E188" s="881">
        <v>6.5216106248823496E-3</v>
      </c>
      <c r="F188" s="881" t="s">
        <v>452</v>
      </c>
      <c r="G188" s="883"/>
      <c r="H188" s="882" t="s">
        <v>452</v>
      </c>
      <c r="I188" s="881" t="s">
        <v>452</v>
      </c>
      <c r="J188" s="884"/>
      <c r="K188" s="881" t="s">
        <v>452</v>
      </c>
      <c r="L188" s="881" t="s">
        <v>452</v>
      </c>
      <c r="M188" s="479"/>
      <c r="N188" s="479"/>
      <c r="O188" s="882">
        <v>2.6348404287860667</v>
      </c>
      <c r="P188" s="881">
        <v>1.2686268731192174</v>
      </c>
      <c r="Q188" s="881">
        <v>1.3662135556668495</v>
      </c>
      <c r="R188" s="881" t="s">
        <v>452</v>
      </c>
      <c r="S188" s="883"/>
      <c r="T188" s="882" t="s">
        <v>452</v>
      </c>
      <c r="U188" s="881" t="s">
        <v>452</v>
      </c>
      <c r="V188" s="884"/>
      <c r="W188" s="881" t="s">
        <v>452</v>
      </c>
      <c r="X188" s="881" t="s">
        <v>452</v>
      </c>
      <c r="Z188" s="1147"/>
      <c r="AC188" s="1148"/>
      <c r="AD188" s="1149"/>
      <c r="AF188" s="1151"/>
      <c r="AG188" s="1152"/>
      <c r="AH188" s="1152"/>
      <c r="AI188" s="1152"/>
      <c r="AJ188" s="1153"/>
      <c r="AK188" s="1151"/>
      <c r="AL188" s="1152"/>
      <c r="AM188" s="1154"/>
      <c r="AN188" s="1152"/>
      <c r="AO188" s="1152"/>
      <c r="AP188" s="1155"/>
      <c r="AQ188" s="1155"/>
      <c r="AR188" s="1151"/>
      <c r="AS188" s="1152"/>
      <c r="AT188" s="1152"/>
      <c r="AU188" s="1152"/>
      <c r="AV188" s="1153"/>
      <c r="AW188" s="1151"/>
      <c r="AX188" s="1152"/>
      <c r="AY188" s="1154"/>
      <c r="AZ188" s="1152"/>
      <c r="BA188" s="1152"/>
    </row>
    <row r="189" spans="1:54">
      <c r="A189" s="764"/>
      <c r="B189" s="562" t="s">
        <v>93</v>
      </c>
      <c r="C189" s="896">
        <v>1.3831990179032452</v>
      </c>
      <c r="D189" s="881">
        <v>0.31491700910753129</v>
      </c>
      <c r="E189" s="881">
        <v>1.0682820087957139</v>
      </c>
      <c r="F189" s="881">
        <v>0.13918983827957185</v>
      </c>
      <c r="G189" s="883"/>
      <c r="H189" s="882">
        <v>0.34797459569892963</v>
      </c>
      <c r="I189" s="881" t="s">
        <v>452</v>
      </c>
      <c r="J189" s="884"/>
      <c r="K189" s="881">
        <v>0.34797459569892963</v>
      </c>
      <c r="L189" s="881" t="s">
        <v>452</v>
      </c>
      <c r="M189" s="479"/>
      <c r="N189" s="479"/>
      <c r="O189" s="882">
        <v>5.6043392101381073</v>
      </c>
      <c r="P189" s="881">
        <v>1.2759564742578584</v>
      </c>
      <c r="Q189" s="881">
        <v>4.3283827358802496</v>
      </c>
      <c r="R189" s="881">
        <v>0.56395866265540706</v>
      </c>
      <c r="S189" s="883"/>
      <c r="T189" s="882">
        <v>1.4098966566385176</v>
      </c>
      <c r="U189" s="881" t="s">
        <v>452</v>
      </c>
      <c r="V189" s="884"/>
      <c r="W189" s="881">
        <v>1.4098966566385176</v>
      </c>
      <c r="X189" s="881" t="s">
        <v>452</v>
      </c>
      <c r="Z189" s="1147"/>
      <c r="AC189" s="1148"/>
      <c r="AD189" s="1149"/>
      <c r="AF189" s="1151"/>
      <c r="AG189" s="1152"/>
      <c r="AH189" s="1152"/>
      <c r="AI189" s="1152"/>
      <c r="AJ189" s="1153"/>
      <c r="AK189" s="1151"/>
      <c r="AL189" s="1152"/>
      <c r="AM189" s="1154"/>
      <c r="AN189" s="1152"/>
      <c r="AO189" s="1152"/>
      <c r="AP189" s="1155"/>
      <c r="AQ189" s="1155"/>
      <c r="AR189" s="1151"/>
      <c r="AS189" s="1152"/>
      <c r="AT189" s="1152"/>
      <c r="AU189" s="1152"/>
      <c r="AV189" s="1153"/>
      <c r="AW189" s="1151"/>
      <c r="AX189" s="1152"/>
      <c r="AY189" s="1154"/>
      <c r="AZ189" s="1152"/>
      <c r="BA189" s="1152"/>
    </row>
    <row r="190" spans="1:54">
      <c r="A190" s="764"/>
      <c r="B190" s="764" t="s">
        <v>1118</v>
      </c>
      <c r="C190" s="896">
        <v>0.27021586323656566</v>
      </c>
      <c r="D190" s="881">
        <v>3.5975935757547949E-2</v>
      </c>
      <c r="E190" s="881">
        <v>0.23423992747901773</v>
      </c>
      <c r="F190" s="881" t="s">
        <v>452</v>
      </c>
      <c r="G190" s="883"/>
      <c r="H190" s="882">
        <v>5.0813468584107277E-2</v>
      </c>
      <c r="I190" s="881" t="s">
        <v>452</v>
      </c>
      <c r="J190" s="884"/>
      <c r="K190" s="881" t="s">
        <v>452</v>
      </c>
      <c r="L190" s="881">
        <v>5.0813468584107277E-2</v>
      </c>
      <c r="M190" s="479"/>
      <c r="N190" s="479"/>
      <c r="O190" s="882">
        <v>6.4311617216107368</v>
      </c>
      <c r="P190" s="881">
        <v>0.85623048984550043</v>
      </c>
      <c r="Q190" s="881">
        <v>5.5749312317652375</v>
      </c>
      <c r="R190" s="881" t="s">
        <v>452</v>
      </c>
      <c r="S190" s="883"/>
      <c r="T190" s="882">
        <v>1.2093650986518367</v>
      </c>
      <c r="U190" s="881" t="s">
        <v>452</v>
      </c>
      <c r="V190" s="884"/>
      <c r="W190" s="881" t="s">
        <v>452</v>
      </c>
      <c r="X190" s="881">
        <v>1.2093650986518367</v>
      </c>
      <c r="Z190" s="1147"/>
      <c r="AC190" s="1148"/>
      <c r="AD190" s="1149"/>
      <c r="AF190" s="1151"/>
      <c r="AG190" s="1152"/>
      <c r="AH190" s="1152"/>
      <c r="AI190" s="1152"/>
      <c r="AJ190" s="1153"/>
      <c r="AK190" s="1151"/>
      <c r="AL190" s="1152"/>
      <c r="AM190" s="1154"/>
      <c r="AN190" s="1152"/>
      <c r="AO190" s="1152"/>
      <c r="AP190" s="1155"/>
      <c r="AQ190" s="1155"/>
      <c r="AR190" s="1151"/>
      <c r="AS190" s="1152"/>
      <c r="AT190" s="1152"/>
      <c r="AU190" s="1152"/>
      <c r="AV190" s="1153"/>
      <c r="AW190" s="1151"/>
      <c r="AX190" s="1152"/>
      <c r="AY190" s="1154"/>
      <c r="AZ190" s="1152"/>
      <c r="BA190" s="1152"/>
    </row>
    <row r="191" spans="1:54">
      <c r="A191" s="764"/>
      <c r="B191" s="764" t="s">
        <v>1119</v>
      </c>
      <c r="C191" s="896">
        <v>3.9236999999999987E-3</v>
      </c>
      <c r="D191" s="881">
        <v>2.4599999999999995E-3</v>
      </c>
      <c r="E191" s="881">
        <v>1.4636999999999992E-3</v>
      </c>
      <c r="F191" s="881" t="s">
        <v>452</v>
      </c>
      <c r="G191" s="883"/>
      <c r="H191" s="882">
        <v>1.2299999999999998E-3</v>
      </c>
      <c r="I191" s="881">
        <v>1.2299999999999998E-3</v>
      </c>
      <c r="J191" s="884"/>
      <c r="K191" s="881" t="s">
        <v>452</v>
      </c>
      <c r="L191" s="881" t="s">
        <v>452</v>
      </c>
      <c r="M191" s="479"/>
      <c r="N191" s="479"/>
      <c r="O191" s="882">
        <v>2.91878172588833</v>
      </c>
      <c r="P191" s="881">
        <v>1.2</v>
      </c>
      <c r="Q191" s="881">
        <v>1.71878172588833</v>
      </c>
      <c r="R191" s="881" t="s">
        <v>452</v>
      </c>
      <c r="S191" s="883"/>
      <c r="T191" s="882">
        <v>0.69796954314720805</v>
      </c>
      <c r="U191" s="881">
        <v>0.69796954314720805</v>
      </c>
      <c r="V191" s="884"/>
      <c r="W191" s="881" t="s">
        <v>452</v>
      </c>
      <c r="X191" s="881" t="s">
        <v>452</v>
      </c>
      <c r="Z191" s="1147"/>
      <c r="AC191" s="1148"/>
      <c r="AD191" s="1149"/>
      <c r="AF191" s="1151"/>
      <c r="AG191" s="1152"/>
      <c r="AH191" s="1152"/>
      <c r="AI191" s="1152"/>
      <c r="AJ191" s="1153"/>
      <c r="AK191" s="1151"/>
      <c r="AL191" s="1152"/>
      <c r="AM191" s="1154"/>
      <c r="AN191" s="1152"/>
      <c r="AO191" s="1152"/>
      <c r="AP191" s="1155"/>
      <c r="AQ191" s="1155"/>
      <c r="AR191" s="1151"/>
      <c r="AS191" s="1152"/>
      <c r="AT191" s="1152"/>
      <c r="AU191" s="1152"/>
      <c r="AV191" s="1153"/>
      <c r="AW191" s="1151"/>
      <c r="AX191" s="1152"/>
      <c r="AY191" s="1154"/>
      <c r="AZ191" s="1152"/>
      <c r="BA191" s="1152"/>
    </row>
    <row r="192" spans="1:54">
      <c r="A192" s="764"/>
      <c r="B192" s="764" t="s">
        <v>1120</v>
      </c>
      <c r="C192" s="896">
        <v>0.12</v>
      </c>
      <c r="D192" s="881">
        <v>0.01</v>
      </c>
      <c r="E192" s="881">
        <v>0.11</v>
      </c>
      <c r="F192" s="881" t="s">
        <v>452</v>
      </c>
      <c r="G192" s="883"/>
      <c r="H192" s="882" t="s">
        <v>452</v>
      </c>
      <c r="I192" s="881" t="s">
        <v>452</v>
      </c>
      <c r="J192" s="884"/>
      <c r="K192" s="881" t="s">
        <v>452</v>
      </c>
      <c r="L192" s="881" t="s">
        <v>452</v>
      </c>
      <c r="M192" s="479"/>
      <c r="N192" s="479"/>
      <c r="O192" s="882">
        <v>2.4049664822510466</v>
      </c>
      <c r="P192" s="881">
        <v>0.20041387352092055</v>
      </c>
      <c r="Q192" s="881">
        <v>2.2045526087301264</v>
      </c>
      <c r="R192" s="881" t="s">
        <v>452</v>
      </c>
      <c r="S192" s="883"/>
      <c r="T192" s="882" t="s">
        <v>452</v>
      </c>
      <c r="U192" s="881" t="s">
        <v>452</v>
      </c>
      <c r="V192" s="884"/>
      <c r="W192" s="881" t="s">
        <v>452</v>
      </c>
      <c r="X192" s="881" t="s">
        <v>452</v>
      </c>
      <c r="Z192" s="1147"/>
      <c r="AC192" s="1148"/>
      <c r="AD192" s="1149"/>
      <c r="AF192" s="1151"/>
      <c r="AG192" s="1152"/>
      <c r="AH192" s="1152"/>
      <c r="AI192" s="1152"/>
      <c r="AJ192" s="1153"/>
      <c r="AK192" s="1151"/>
      <c r="AL192" s="1152"/>
      <c r="AM192" s="1154"/>
      <c r="AN192" s="1152"/>
      <c r="AO192" s="1152"/>
      <c r="AP192" s="1155"/>
      <c r="AQ192" s="1155"/>
      <c r="AR192" s="1151"/>
      <c r="AS192" s="1152"/>
      <c r="AT192" s="1152"/>
      <c r="AU192" s="1152"/>
      <c r="AV192" s="1153"/>
      <c r="AW192" s="1151"/>
      <c r="AX192" s="1152"/>
      <c r="AY192" s="1154"/>
      <c r="AZ192" s="1152"/>
      <c r="BA192" s="1152"/>
    </row>
    <row r="193" spans="1:54" ht="13" customHeight="1">
      <c r="A193" s="764"/>
      <c r="B193" s="764" t="s">
        <v>1121</v>
      </c>
      <c r="C193" s="896">
        <v>6.0299999999999999E-2</v>
      </c>
      <c r="D193" s="881">
        <v>4.9903987464271484E-3</v>
      </c>
      <c r="E193" s="881">
        <v>5.530960125357285E-2</v>
      </c>
      <c r="F193" s="881" t="s">
        <v>452</v>
      </c>
      <c r="G193" s="883"/>
      <c r="H193" s="882" t="s">
        <v>452</v>
      </c>
      <c r="I193" s="881" t="s">
        <v>452</v>
      </c>
      <c r="J193" s="884"/>
      <c r="K193" s="881" t="s">
        <v>452</v>
      </c>
      <c r="L193" s="881" t="s">
        <v>452</v>
      </c>
      <c r="M193" s="479"/>
      <c r="N193" s="479"/>
      <c r="O193" s="882">
        <v>1.25</v>
      </c>
      <c r="P193" s="881">
        <v>0.12249526425480639</v>
      </c>
      <c r="Q193" s="881">
        <v>1.1275047357451937</v>
      </c>
      <c r="R193" s="881" t="s">
        <v>452</v>
      </c>
      <c r="S193" s="883"/>
      <c r="T193" s="882" t="s">
        <v>452</v>
      </c>
      <c r="U193" s="881" t="s">
        <v>452</v>
      </c>
      <c r="V193" s="884"/>
      <c r="W193" s="881" t="s">
        <v>452</v>
      </c>
      <c r="X193" s="881" t="s">
        <v>452</v>
      </c>
      <c r="Z193" s="1147"/>
      <c r="AC193" s="1148"/>
      <c r="AD193" s="1149"/>
      <c r="AF193" s="1151"/>
      <c r="AG193" s="1152"/>
      <c r="AH193" s="1152"/>
      <c r="AI193" s="1152"/>
      <c r="AJ193" s="1153"/>
      <c r="AK193" s="1151"/>
      <c r="AL193" s="1152"/>
      <c r="AM193" s="1154"/>
      <c r="AN193" s="1152"/>
      <c r="AO193" s="1152"/>
      <c r="AP193" s="1155"/>
      <c r="AQ193" s="1155"/>
      <c r="AR193" s="1151"/>
      <c r="AS193" s="1152"/>
      <c r="AT193" s="1152"/>
      <c r="AU193" s="1152"/>
      <c r="AV193" s="1153"/>
      <c r="AW193" s="1151"/>
      <c r="AX193" s="1152"/>
      <c r="AY193" s="1154"/>
      <c r="AZ193" s="1152"/>
      <c r="BA193" s="1152"/>
    </row>
    <row r="194" spans="1:54">
      <c r="A194" s="764"/>
      <c r="B194" s="764" t="s">
        <v>1122</v>
      </c>
      <c r="C194" s="896">
        <v>0.81799999999999995</v>
      </c>
      <c r="D194" s="881" t="s">
        <v>452</v>
      </c>
      <c r="E194" s="881" t="s">
        <v>452</v>
      </c>
      <c r="F194" s="881" t="s">
        <v>452</v>
      </c>
      <c r="G194" s="883"/>
      <c r="H194" s="882" t="s">
        <v>452</v>
      </c>
      <c r="I194" s="881" t="s">
        <v>452</v>
      </c>
      <c r="J194" s="884"/>
      <c r="K194" s="881" t="s">
        <v>452</v>
      </c>
      <c r="L194" s="881" t="s">
        <v>452</v>
      </c>
      <c r="M194" s="479"/>
      <c r="N194" s="479"/>
      <c r="O194" s="882">
        <v>0.92045125355912061</v>
      </c>
      <c r="P194" s="881" t="s">
        <v>452</v>
      </c>
      <c r="Q194" s="881" t="s">
        <v>452</v>
      </c>
      <c r="R194" s="881" t="s">
        <v>452</v>
      </c>
      <c r="S194" s="883"/>
      <c r="T194" s="882" t="s">
        <v>452</v>
      </c>
      <c r="U194" s="881" t="s">
        <v>452</v>
      </c>
      <c r="V194" s="884"/>
      <c r="W194" s="881" t="s">
        <v>452</v>
      </c>
      <c r="X194" s="881" t="s">
        <v>452</v>
      </c>
      <c r="Z194" s="1147"/>
      <c r="AC194" s="1148"/>
      <c r="AD194" s="1149"/>
      <c r="AF194" s="1151"/>
      <c r="AG194" s="1152"/>
      <c r="AH194" s="1152"/>
      <c r="AI194" s="1152"/>
      <c r="AJ194" s="1153"/>
      <c r="AK194" s="1151"/>
      <c r="AL194" s="1152"/>
      <c r="AM194" s="1154"/>
      <c r="AN194" s="1152"/>
      <c r="AO194" s="1152"/>
      <c r="AP194" s="1155"/>
      <c r="AQ194" s="1155"/>
      <c r="AR194" s="1151"/>
      <c r="AS194" s="1152"/>
      <c r="AT194" s="1152"/>
      <c r="AU194" s="1152"/>
      <c r="AV194" s="1153"/>
      <c r="AW194" s="1151"/>
      <c r="AX194" s="1152"/>
      <c r="AY194" s="1154"/>
      <c r="AZ194" s="1152"/>
      <c r="BA194" s="1152"/>
    </row>
    <row r="195" spans="1:54">
      <c r="A195" s="764"/>
      <c r="B195" s="764" t="s">
        <v>1123</v>
      </c>
      <c r="C195" s="896">
        <v>0.24317175905631516</v>
      </c>
      <c r="D195" s="881">
        <v>0.15500988625103757</v>
      </c>
      <c r="E195" s="881">
        <v>8.8161872805277583E-2</v>
      </c>
      <c r="F195" s="881" t="s">
        <v>452</v>
      </c>
      <c r="G195" s="883"/>
      <c r="H195" s="882">
        <v>3.8752471562759391E-2</v>
      </c>
      <c r="I195" s="881">
        <v>3.8752471562759391E-2</v>
      </c>
      <c r="J195" s="884"/>
      <c r="K195" s="881" t="s">
        <v>452</v>
      </c>
      <c r="L195" s="881" t="s">
        <v>452</v>
      </c>
      <c r="M195" s="479"/>
      <c r="N195" s="479"/>
      <c r="O195" s="882">
        <v>3.040839320111941</v>
      </c>
      <c r="P195" s="881">
        <v>1.9383836303502415</v>
      </c>
      <c r="Q195" s="881">
        <v>1.1024556897616995</v>
      </c>
      <c r="R195" s="881" t="s">
        <v>452</v>
      </c>
      <c r="S195" s="883"/>
      <c r="T195" s="882">
        <v>0.48459590758756038</v>
      </c>
      <c r="U195" s="881">
        <v>0.48459590758756038</v>
      </c>
      <c r="V195" s="884"/>
      <c r="W195" s="881" t="s">
        <v>452</v>
      </c>
      <c r="X195" s="881" t="s">
        <v>452</v>
      </c>
      <c r="Z195" s="1147"/>
      <c r="AC195" s="1148"/>
      <c r="AD195" s="1149"/>
      <c r="AF195" s="1151"/>
      <c r="AG195" s="1152"/>
      <c r="AH195" s="1152"/>
      <c r="AI195" s="1152"/>
      <c r="AJ195" s="1153"/>
      <c r="AK195" s="1151"/>
      <c r="AL195" s="1152"/>
      <c r="AM195" s="1154"/>
      <c r="AN195" s="1152"/>
      <c r="AO195" s="1152"/>
      <c r="AP195" s="1155"/>
      <c r="AQ195" s="1155"/>
      <c r="AR195" s="1151"/>
      <c r="AS195" s="1152"/>
      <c r="AT195" s="1152"/>
      <c r="AU195" s="1152"/>
      <c r="AV195" s="1153"/>
      <c r="AW195" s="1151"/>
      <c r="AX195" s="1152"/>
      <c r="AY195" s="1154"/>
      <c r="AZ195" s="1152"/>
      <c r="BA195" s="1152"/>
    </row>
    <row r="196" spans="1:54">
      <c r="A196" s="764"/>
      <c r="B196" s="764" t="s">
        <v>1124</v>
      </c>
      <c r="C196" s="896" t="s">
        <v>452</v>
      </c>
      <c r="D196" s="881">
        <v>1.8038763315664882E-2</v>
      </c>
      <c r="E196" s="881" t="s">
        <v>452</v>
      </c>
      <c r="F196" s="881">
        <v>9.5830930114469692E-3</v>
      </c>
      <c r="G196" s="883"/>
      <c r="H196" s="882" t="s">
        <v>452</v>
      </c>
      <c r="I196" s="881" t="s">
        <v>452</v>
      </c>
      <c r="J196" s="884"/>
      <c r="K196" s="881" t="s">
        <v>452</v>
      </c>
      <c r="L196" s="881" t="s">
        <v>452</v>
      </c>
      <c r="M196" s="479"/>
      <c r="N196" s="479"/>
      <c r="O196" s="882" t="s">
        <v>452</v>
      </c>
      <c r="P196" s="881">
        <v>2.8009297460049591E-2</v>
      </c>
      <c r="Q196" s="881" t="s">
        <v>452</v>
      </c>
      <c r="R196" s="881">
        <v>1.4879939275651347E-2</v>
      </c>
      <c r="S196" s="883"/>
      <c r="T196" s="882" t="s">
        <v>452</v>
      </c>
      <c r="U196" s="881" t="s">
        <v>452</v>
      </c>
      <c r="V196" s="884"/>
      <c r="W196" s="881" t="s">
        <v>452</v>
      </c>
      <c r="X196" s="881" t="s">
        <v>452</v>
      </c>
      <c r="Z196" s="1147"/>
      <c r="AC196" s="1148"/>
      <c r="AD196" s="1149"/>
      <c r="AF196" s="1151"/>
      <c r="AG196" s="1152"/>
      <c r="AH196" s="1152"/>
      <c r="AI196" s="1152"/>
      <c r="AJ196" s="1153"/>
      <c r="AK196" s="1151"/>
      <c r="AL196" s="1152"/>
      <c r="AM196" s="1154"/>
      <c r="AN196" s="1152"/>
      <c r="AO196" s="1152"/>
      <c r="AP196" s="1155"/>
      <c r="AQ196" s="1155"/>
      <c r="AR196" s="1151"/>
      <c r="AS196" s="1152"/>
      <c r="AT196" s="1152"/>
      <c r="AU196" s="1152"/>
      <c r="AV196" s="1153"/>
      <c r="AW196" s="1151"/>
      <c r="AX196" s="1152"/>
      <c r="AY196" s="1154"/>
      <c r="AZ196" s="1152"/>
      <c r="BA196" s="1152"/>
    </row>
    <row r="197" spans="1:54">
      <c r="A197" s="764"/>
      <c r="B197" s="764" t="s">
        <v>1125</v>
      </c>
      <c r="C197" s="896">
        <v>0.48</v>
      </c>
      <c r="D197" s="881" t="s">
        <v>452</v>
      </c>
      <c r="E197" s="881" t="s">
        <v>452</v>
      </c>
      <c r="F197" s="881" t="s">
        <v>452</v>
      </c>
      <c r="G197" s="883"/>
      <c r="H197" s="882" t="s">
        <v>452</v>
      </c>
      <c r="I197" s="881" t="s">
        <v>452</v>
      </c>
      <c r="J197" s="884"/>
      <c r="K197" s="881" t="s">
        <v>452</v>
      </c>
      <c r="L197" s="881" t="s">
        <v>452</v>
      </c>
      <c r="M197" s="479"/>
      <c r="N197" s="479"/>
      <c r="O197" s="882">
        <v>30.66279155892931</v>
      </c>
      <c r="P197" s="881" t="s">
        <v>452</v>
      </c>
      <c r="Q197" s="881" t="s">
        <v>452</v>
      </c>
      <c r="R197" s="881" t="s">
        <v>452</v>
      </c>
      <c r="S197" s="883"/>
      <c r="T197" s="882" t="s">
        <v>452</v>
      </c>
      <c r="U197" s="881" t="s">
        <v>452</v>
      </c>
      <c r="V197" s="884"/>
      <c r="W197" s="881" t="s">
        <v>452</v>
      </c>
      <c r="X197" s="881" t="s">
        <v>452</v>
      </c>
      <c r="Z197" s="1147"/>
      <c r="AC197" s="1148"/>
      <c r="AD197" s="1149"/>
      <c r="AF197" s="1151"/>
      <c r="AG197" s="1152"/>
      <c r="AH197" s="1152"/>
      <c r="AI197" s="1152"/>
      <c r="AJ197" s="1153"/>
      <c r="AK197" s="1151"/>
      <c r="AL197" s="1152"/>
      <c r="AM197" s="1154"/>
      <c r="AN197" s="1152"/>
      <c r="AO197" s="1152"/>
      <c r="AP197" s="1155"/>
      <c r="AQ197" s="1155"/>
      <c r="AR197" s="1151"/>
      <c r="AS197" s="1152"/>
      <c r="AT197" s="1152"/>
      <c r="AU197" s="1152"/>
      <c r="AV197" s="1153"/>
      <c r="AW197" s="1151"/>
      <c r="AX197" s="1152"/>
      <c r="AY197" s="1154"/>
      <c r="AZ197" s="1152"/>
      <c r="BA197" s="1152"/>
    </row>
    <row r="198" spans="1:54">
      <c r="A198" s="764"/>
      <c r="B198" s="764" t="s">
        <v>1126</v>
      </c>
      <c r="C198" s="896">
        <v>0.32883599293548849</v>
      </c>
      <c r="D198" s="881">
        <v>0.1304904733870986</v>
      </c>
      <c r="E198" s="881">
        <v>0.19834551954838989</v>
      </c>
      <c r="F198" s="881" t="s">
        <v>452</v>
      </c>
      <c r="G198" s="883"/>
      <c r="H198" s="882" t="s">
        <v>452</v>
      </c>
      <c r="I198" s="881" t="s">
        <v>452</v>
      </c>
      <c r="J198" s="884"/>
      <c r="K198" s="881" t="s">
        <v>452</v>
      </c>
      <c r="L198" s="881" t="s">
        <v>452</v>
      </c>
      <c r="M198" s="479"/>
      <c r="N198" s="479"/>
      <c r="O198" s="882">
        <v>4.3350075484179049</v>
      </c>
      <c r="P198" s="881">
        <v>1.720241090642026</v>
      </c>
      <c r="Q198" s="881">
        <v>2.6147664577758789</v>
      </c>
      <c r="R198" s="881" t="s">
        <v>452</v>
      </c>
      <c r="S198" s="883"/>
      <c r="T198" s="882" t="s">
        <v>452</v>
      </c>
      <c r="U198" s="881" t="s">
        <v>452</v>
      </c>
      <c r="V198" s="884"/>
      <c r="W198" s="881" t="s">
        <v>452</v>
      </c>
      <c r="X198" s="881" t="s">
        <v>452</v>
      </c>
      <c r="Z198" s="1147"/>
      <c r="AC198" s="1148"/>
      <c r="AD198" s="1149"/>
      <c r="AF198" s="1151"/>
      <c r="AG198" s="1152"/>
      <c r="AH198" s="1152"/>
      <c r="AI198" s="1152"/>
      <c r="AJ198" s="1153"/>
      <c r="AK198" s="1151"/>
      <c r="AL198" s="1152"/>
      <c r="AM198" s="1154"/>
      <c r="AN198" s="1152"/>
      <c r="AO198" s="1152"/>
      <c r="AP198" s="1155"/>
      <c r="AQ198" s="1155"/>
      <c r="AR198" s="1151"/>
      <c r="AS198" s="1152"/>
      <c r="AT198" s="1152"/>
      <c r="AU198" s="1152"/>
      <c r="AV198" s="1153"/>
      <c r="AW198" s="1151"/>
      <c r="AX198" s="1152"/>
      <c r="AY198" s="1154"/>
      <c r="AZ198" s="1152"/>
      <c r="BA198" s="1152"/>
    </row>
    <row r="199" spans="1:54">
      <c r="A199" s="764"/>
      <c r="B199" s="764" t="s">
        <v>1127</v>
      </c>
      <c r="C199" s="896">
        <v>0.65277324038108198</v>
      </c>
      <c r="D199" s="881">
        <v>0.37107829142278986</v>
      </c>
      <c r="E199" s="881">
        <v>0.28169494895829211</v>
      </c>
      <c r="F199" s="881">
        <v>0.20001859334824845</v>
      </c>
      <c r="G199" s="883"/>
      <c r="H199" s="882">
        <v>0.20631711768760097</v>
      </c>
      <c r="I199" s="881">
        <v>0.20631711768760097</v>
      </c>
      <c r="J199" s="884"/>
      <c r="K199" s="881" t="s">
        <v>452</v>
      </c>
      <c r="L199" s="881" t="s">
        <v>452</v>
      </c>
      <c r="M199" s="479"/>
      <c r="N199" s="479"/>
      <c r="O199" s="882">
        <v>1.6471857269765686</v>
      </c>
      <c r="P199" s="881">
        <v>0.92416746555581308</v>
      </c>
      <c r="Q199" s="881">
        <v>0.72301826142075554</v>
      </c>
      <c r="R199" s="881">
        <v>0.5123590597253368</v>
      </c>
      <c r="S199" s="883"/>
      <c r="T199" s="882">
        <v>0.51978367747288823</v>
      </c>
      <c r="U199" s="881">
        <v>0.51978367747288823</v>
      </c>
      <c r="V199" s="884"/>
      <c r="W199" s="881" t="s">
        <v>452</v>
      </c>
      <c r="X199" s="881" t="s">
        <v>452</v>
      </c>
      <c r="Z199" s="1147"/>
      <c r="AC199" s="1148"/>
      <c r="AD199" s="1149"/>
      <c r="AF199" s="1151"/>
      <c r="AG199" s="1152"/>
      <c r="AH199" s="1152"/>
      <c r="AI199" s="1152"/>
      <c r="AJ199" s="1153"/>
      <c r="AK199" s="1151"/>
      <c r="AL199" s="1152"/>
      <c r="AM199" s="1154"/>
      <c r="AN199" s="1152"/>
      <c r="AO199" s="1152"/>
      <c r="AP199" s="1155"/>
      <c r="AQ199" s="1155"/>
      <c r="AR199" s="1151"/>
      <c r="AS199" s="1152"/>
      <c r="AT199" s="1152"/>
      <c r="AU199" s="1152"/>
      <c r="AV199" s="1153"/>
      <c r="AW199" s="1151"/>
      <c r="AX199" s="1152"/>
      <c r="AY199" s="1154"/>
      <c r="AZ199" s="1152"/>
      <c r="BA199" s="1152"/>
    </row>
    <row r="200" spans="1:54">
      <c r="A200" s="764"/>
      <c r="B200" s="764" t="s">
        <v>913</v>
      </c>
      <c r="C200" s="896">
        <v>3.3915014286441689</v>
      </c>
      <c r="D200" s="881">
        <v>0.70117551530619915</v>
      </c>
      <c r="E200" s="881">
        <v>2.6903259133379698</v>
      </c>
      <c r="F200" s="881" t="s">
        <v>452</v>
      </c>
      <c r="G200" s="883"/>
      <c r="H200" s="882">
        <v>1.2307868087821581</v>
      </c>
      <c r="I200" s="881">
        <v>1.2307868087821581</v>
      </c>
      <c r="J200" s="884"/>
      <c r="K200" s="881" t="s">
        <v>452</v>
      </c>
      <c r="L200" s="881" t="s">
        <v>452</v>
      </c>
      <c r="M200" s="479"/>
      <c r="N200" s="479"/>
      <c r="O200" s="882">
        <v>5.6592682383610757</v>
      </c>
      <c r="P200" s="881">
        <v>1.1700246651157062</v>
      </c>
      <c r="Q200" s="881">
        <v>4.4892435732453695</v>
      </c>
      <c r="R200" s="881" t="s">
        <v>452</v>
      </c>
      <c r="S200" s="883"/>
      <c r="T200" s="882">
        <v>2.0537666994052293</v>
      </c>
      <c r="U200" s="881">
        <v>2.0537666994052293</v>
      </c>
      <c r="V200" s="884"/>
      <c r="W200" s="881" t="s">
        <v>452</v>
      </c>
      <c r="X200" s="881" t="s">
        <v>452</v>
      </c>
      <c r="Z200" s="1147"/>
      <c r="AC200" s="1148"/>
      <c r="AD200" s="1149"/>
      <c r="AF200" s="1151"/>
      <c r="AG200" s="1152"/>
      <c r="AH200" s="1152"/>
      <c r="AI200" s="1152"/>
      <c r="AJ200" s="1153"/>
      <c r="AK200" s="1151"/>
      <c r="AL200" s="1152"/>
      <c r="AM200" s="1154"/>
      <c r="AN200" s="1152"/>
      <c r="AO200" s="1152"/>
      <c r="AP200" s="1155"/>
      <c r="AQ200" s="1155"/>
      <c r="AR200" s="1151"/>
      <c r="AS200" s="1152"/>
      <c r="AT200" s="1152"/>
      <c r="AU200" s="1152"/>
      <c r="AV200" s="1153"/>
      <c r="AW200" s="1151"/>
      <c r="AX200" s="1152"/>
      <c r="AY200" s="1154"/>
      <c r="AZ200" s="1152"/>
      <c r="BA200" s="1152"/>
    </row>
    <row r="201" spans="1:54">
      <c r="A201" s="764"/>
      <c r="B201" s="764" t="s">
        <v>33</v>
      </c>
      <c r="C201" s="896">
        <v>6.074238065187715</v>
      </c>
      <c r="D201" s="881">
        <v>1.3739501827943565</v>
      </c>
      <c r="E201" s="881">
        <v>4.7002878823933587</v>
      </c>
      <c r="F201" s="881">
        <v>12.70580890044938</v>
      </c>
      <c r="G201" s="883"/>
      <c r="H201" s="882">
        <v>3.2776679909294839</v>
      </c>
      <c r="I201" s="881">
        <v>1.119834004785369</v>
      </c>
      <c r="J201" s="884"/>
      <c r="K201" s="881" t="s">
        <v>452</v>
      </c>
      <c r="L201" s="881">
        <v>2.1578339861441149</v>
      </c>
      <c r="M201" s="479"/>
      <c r="N201" s="479"/>
      <c r="O201" s="882">
        <v>1.7703277371912942</v>
      </c>
      <c r="P201" s="881">
        <v>0.40043575704745288</v>
      </c>
      <c r="Q201" s="881">
        <v>1.3698919801438412</v>
      </c>
      <c r="R201" s="881">
        <v>3.7030892893103009</v>
      </c>
      <c r="S201" s="883"/>
      <c r="T201" s="882">
        <v>0.95527150819157258</v>
      </c>
      <c r="U201" s="881">
        <v>0.3263739712612469</v>
      </c>
      <c r="V201" s="884"/>
      <c r="W201" s="881" t="s">
        <v>452</v>
      </c>
      <c r="X201" s="881">
        <v>0.62889753693032568</v>
      </c>
      <c r="Z201" s="1147"/>
      <c r="AC201" s="1148"/>
      <c r="AD201" s="1149"/>
      <c r="AF201" s="1151"/>
      <c r="AG201" s="1152"/>
      <c r="AH201" s="1152"/>
      <c r="AI201" s="1152"/>
      <c r="AJ201" s="1153"/>
      <c r="AK201" s="1151"/>
      <c r="AL201" s="1152"/>
      <c r="AM201" s="1154"/>
      <c r="AN201" s="1152"/>
      <c r="AO201" s="1152"/>
      <c r="AP201" s="1155"/>
      <c r="AQ201" s="1155"/>
      <c r="AR201" s="1151"/>
      <c r="AS201" s="1152"/>
      <c r="AT201" s="1152"/>
      <c r="AU201" s="1152"/>
      <c r="AV201" s="1153"/>
      <c r="AW201" s="1151"/>
      <c r="AX201" s="1152"/>
      <c r="AY201" s="1154"/>
      <c r="AZ201" s="1152"/>
      <c r="BA201" s="1152"/>
    </row>
    <row r="202" spans="1:54">
      <c r="A202" s="764"/>
      <c r="B202" s="764" t="s">
        <v>1128</v>
      </c>
      <c r="C202" s="896">
        <v>0.22745443254464301</v>
      </c>
      <c r="D202" s="881">
        <v>2.2942000000000001E-2</v>
      </c>
      <c r="E202" s="881">
        <v>0.20451243254464302</v>
      </c>
      <c r="F202" s="881" t="s">
        <v>452</v>
      </c>
      <c r="G202" s="883"/>
      <c r="H202" s="882" t="s">
        <v>452</v>
      </c>
      <c r="I202" s="881" t="s">
        <v>452</v>
      </c>
      <c r="J202" s="884"/>
      <c r="K202" s="881" t="s">
        <v>452</v>
      </c>
      <c r="L202" s="881" t="s">
        <v>452</v>
      </c>
      <c r="M202" s="479"/>
      <c r="N202" s="479"/>
      <c r="O202" s="882">
        <v>1.2072624286477891</v>
      </c>
      <c r="P202" s="881">
        <v>0.114</v>
      </c>
      <c r="Q202" s="881">
        <v>1.093262428647789</v>
      </c>
      <c r="R202" s="881" t="s">
        <v>452</v>
      </c>
      <c r="S202" s="883"/>
      <c r="T202" s="882" t="s">
        <v>452</v>
      </c>
      <c r="U202" s="881" t="s">
        <v>452</v>
      </c>
      <c r="V202" s="884"/>
      <c r="W202" s="881" t="s">
        <v>452</v>
      </c>
      <c r="X202" s="881" t="s">
        <v>452</v>
      </c>
      <c r="Z202" s="1147"/>
      <c r="AC202" s="1148"/>
      <c r="AD202" s="1149"/>
      <c r="AF202" s="1151"/>
      <c r="AG202" s="1152"/>
      <c r="AH202" s="1152"/>
      <c r="AI202" s="1152"/>
      <c r="AJ202" s="1153"/>
      <c r="AK202" s="1151"/>
      <c r="AL202" s="1152"/>
      <c r="AM202" s="1154"/>
      <c r="AN202" s="1152"/>
      <c r="AO202" s="1152"/>
      <c r="AP202" s="1155"/>
      <c r="AQ202" s="1155"/>
      <c r="AR202" s="1151"/>
      <c r="AS202" s="1152"/>
      <c r="AT202" s="1152"/>
      <c r="AU202" s="1152"/>
      <c r="AV202" s="1153"/>
      <c r="AW202" s="1151"/>
      <c r="AX202" s="1152"/>
      <c r="AY202" s="1154"/>
      <c r="AZ202" s="1152"/>
      <c r="BA202" s="1152"/>
    </row>
    <row r="203" spans="1:54">
      <c r="A203" s="764"/>
      <c r="B203" s="764" t="s">
        <v>916</v>
      </c>
      <c r="C203" s="896">
        <v>0.38704558122717753</v>
      </c>
      <c r="D203" s="881">
        <v>5.4513462144672897E-2</v>
      </c>
      <c r="E203" s="881">
        <v>0.33253211908250463</v>
      </c>
      <c r="F203" s="881" t="s">
        <v>452</v>
      </c>
      <c r="G203" s="883"/>
      <c r="H203" s="882">
        <v>4.9062115930205603E-2</v>
      </c>
      <c r="I203" s="881">
        <v>4.9062115930205603E-2</v>
      </c>
      <c r="J203" s="884"/>
      <c r="K203" s="881" t="s">
        <v>452</v>
      </c>
      <c r="L203" s="881" t="s">
        <v>452</v>
      </c>
      <c r="M203" s="479"/>
      <c r="N203" s="479"/>
      <c r="O203" s="882">
        <v>2.0034076510126715</v>
      </c>
      <c r="P203" s="881">
        <v>0.28217009169192564</v>
      </c>
      <c r="Q203" s="881">
        <v>1.7212375593207461</v>
      </c>
      <c r="R203" s="881" t="s">
        <v>452</v>
      </c>
      <c r="S203" s="883"/>
      <c r="T203" s="882">
        <v>0.25395308252273302</v>
      </c>
      <c r="U203" s="881">
        <v>0.25395308252273302</v>
      </c>
      <c r="V203" s="884"/>
      <c r="W203" s="881" t="s">
        <v>452</v>
      </c>
      <c r="X203" s="881" t="s">
        <v>452</v>
      </c>
      <c r="Z203" s="1147"/>
      <c r="AC203" s="1148"/>
      <c r="AD203" s="1149"/>
      <c r="AF203" s="1151"/>
      <c r="AG203" s="1152"/>
      <c r="AH203" s="1152"/>
      <c r="AI203" s="1152"/>
      <c r="AJ203" s="1153"/>
      <c r="AK203" s="1151"/>
      <c r="AL203" s="1152"/>
      <c r="AM203" s="1154"/>
      <c r="AN203" s="1152"/>
      <c r="AO203" s="1152"/>
      <c r="AP203" s="1155"/>
      <c r="AQ203" s="1155"/>
      <c r="AR203" s="1151"/>
      <c r="AS203" s="1152"/>
      <c r="AT203" s="1152"/>
      <c r="AU203" s="1152"/>
      <c r="AV203" s="1153"/>
      <c r="AW203" s="1151"/>
      <c r="AX203" s="1152"/>
      <c r="AY203" s="1154"/>
      <c r="AZ203" s="1152"/>
      <c r="BA203" s="1152"/>
    </row>
    <row r="204" spans="1:54">
      <c r="A204" s="764"/>
      <c r="B204" s="764" t="s">
        <v>1129</v>
      </c>
      <c r="C204" s="896">
        <v>0.7349291587556539</v>
      </c>
      <c r="D204" s="881">
        <v>2.1443556356265762E-2</v>
      </c>
      <c r="E204" s="881">
        <v>0.71348560239938819</v>
      </c>
      <c r="F204" s="881" t="s">
        <v>452</v>
      </c>
      <c r="G204" s="883"/>
      <c r="H204" s="882" t="s">
        <v>452</v>
      </c>
      <c r="I204" s="881" t="s">
        <v>452</v>
      </c>
      <c r="J204" s="884"/>
      <c r="K204" s="881" t="s">
        <v>452</v>
      </c>
      <c r="L204" s="881" t="s">
        <v>452</v>
      </c>
      <c r="M204" s="479"/>
      <c r="N204" s="479"/>
      <c r="O204" s="882">
        <v>3.3520987971078697</v>
      </c>
      <c r="P204" s="881">
        <v>9.7806596202086371E-2</v>
      </c>
      <c r="Q204" s="881">
        <v>3.2542922009057835</v>
      </c>
      <c r="R204" s="881" t="s">
        <v>452</v>
      </c>
      <c r="S204" s="883"/>
      <c r="T204" s="882" t="s">
        <v>452</v>
      </c>
      <c r="U204" s="881" t="s">
        <v>452</v>
      </c>
      <c r="V204" s="884"/>
      <c r="W204" s="881" t="s">
        <v>452</v>
      </c>
      <c r="X204" s="881" t="s">
        <v>452</v>
      </c>
      <c r="Z204" s="1147"/>
      <c r="AC204" s="1148"/>
      <c r="AD204" s="1149"/>
      <c r="AF204" s="1151"/>
      <c r="AG204" s="1152"/>
      <c r="AH204" s="1152"/>
      <c r="AI204" s="1152"/>
      <c r="AJ204" s="1153"/>
      <c r="AK204" s="1151"/>
      <c r="AL204" s="1152"/>
      <c r="AM204" s="1154"/>
      <c r="AN204" s="1152"/>
      <c r="AO204" s="1152"/>
      <c r="AP204" s="1155"/>
      <c r="AQ204" s="1155"/>
      <c r="AR204" s="1151"/>
      <c r="AS204" s="1152"/>
      <c r="AT204" s="1152"/>
      <c r="AU204" s="1152"/>
      <c r="AV204" s="1153"/>
      <c r="AW204" s="1151"/>
      <c r="AX204" s="1152"/>
      <c r="AY204" s="1154"/>
      <c r="AZ204" s="1152"/>
      <c r="BA204" s="1152"/>
    </row>
    <row r="205" spans="1:54">
      <c r="A205" s="764"/>
      <c r="B205" s="764"/>
      <c r="C205" s="896"/>
      <c r="D205" s="881"/>
      <c r="E205" s="881"/>
      <c r="F205" s="881"/>
      <c r="G205" s="883"/>
      <c r="H205" s="882"/>
      <c r="I205" s="881"/>
      <c r="J205" s="884"/>
      <c r="K205" s="881"/>
      <c r="L205" s="881"/>
      <c r="M205" s="479"/>
      <c r="N205" s="479"/>
      <c r="O205" s="882"/>
      <c r="P205" s="881"/>
      <c r="Q205" s="881"/>
      <c r="R205" s="881"/>
      <c r="S205" s="883"/>
      <c r="T205" s="882"/>
      <c r="U205" s="881"/>
      <c r="V205" s="884"/>
      <c r="W205" s="881"/>
      <c r="X205" s="881"/>
      <c r="AC205" s="1177"/>
      <c r="AD205" s="1149"/>
    </row>
    <row r="206" spans="1:54">
      <c r="A206" s="845"/>
      <c r="B206" s="845" t="s">
        <v>1130</v>
      </c>
      <c r="C206" s="897">
        <v>10793.04235797296</v>
      </c>
      <c r="D206" s="897">
        <v>1450.812448784907</v>
      </c>
      <c r="E206" s="897">
        <v>9255.0245733771044</v>
      </c>
      <c r="F206" s="883">
        <v>774.50976476733103</v>
      </c>
      <c r="G206" s="883"/>
      <c r="H206" s="895">
        <v>6116.8620288362945</v>
      </c>
      <c r="I206" s="883">
        <v>375.75084556525002</v>
      </c>
      <c r="J206" s="883"/>
      <c r="K206" s="883">
        <v>4046.1822525676494</v>
      </c>
      <c r="L206" s="883">
        <v>1694.9289307033951</v>
      </c>
      <c r="M206" s="479"/>
      <c r="N206" s="479"/>
      <c r="O206" s="882">
        <v>10.184549096940735</v>
      </c>
      <c r="P206" s="882">
        <v>1.3938824800680196</v>
      </c>
      <c r="Q206" s="882">
        <v>8.6082398317630364</v>
      </c>
      <c r="R206" s="881">
        <v>0.90735175939886525</v>
      </c>
      <c r="S206" s="883"/>
      <c r="T206" s="882">
        <v>6.1865847680789656</v>
      </c>
      <c r="U206" s="881">
        <v>0.41708070270864517</v>
      </c>
      <c r="V206" s="884"/>
      <c r="W206" s="881">
        <v>4.127177547756876</v>
      </c>
      <c r="X206" s="881">
        <v>1.6423265176134443</v>
      </c>
      <c r="AC206" s="1178"/>
      <c r="AD206" s="1149"/>
    </row>
    <row r="208" spans="1:54" s="383" customFormat="1" ht="3.65" customHeight="1">
      <c r="B208" s="848"/>
      <c r="C208" s="2"/>
      <c r="D208" s="2"/>
      <c r="E208" s="2"/>
      <c r="F208" s="2"/>
      <c r="G208" s="2"/>
      <c r="H208" s="2"/>
      <c r="I208" s="2"/>
      <c r="J208" s="2"/>
      <c r="K208" s="2"/>
      <c r="L208" s="2"/>
      <c r="M208" s="2"/>
      <c r="N208" s="2"/>
      <c r="O208" s="2"/>
      <c r="P208" s="2"/>
      <c r="Q208" s="2"/>
      <c r="R208" s="2"/>
      <c r="S208" s="2"/>
      <c r="T208" s="2"/>
      <c r="U208" s="2"/>
      <c r="V208" s="2"/>
      <c r="W208" s="2"/>
      <c r="X208" s="2"/>
      <c r="Z208" s="1134"/>
      <c r="AA208" s="1134"/>
      <c r="AB208" s="1134"/>
      <c r="AC208" s="1179"/>
      <c r="AD208" s="1134"/>
      <c r="AE208" s="1134"/>
      <c r="AF208" s="1134"/>
      <c r="AG208" s="1134"/>
      <c r="AH208" s="1134"/>
      <c r="AI208" s="1134"/>
      <c r="AJ208" s="1134"/>
      <c r="AK208" s="1134"/>
      <c r="AL208" s="1134"/>
      <c r="AM208" s="1134"/>
      <c r="AN208" s="1134"/>
      <c r="AO208" s="1134"/>
      <c r="AP208" s="1134"/>
      <c r="AQ208" s="1134"/>
      <c r="AR208" s="1134"/>
      <c r="AS208" s="1134"/>
      <c r="AT208" s="1134"/>
      <c r="AU208" s="1134"/>
      <c r="AV208" s="1134"/>
      <c r="AW208" s="1134"/>
      <c r="AX208" s="1134"/>
      <c r="AY208" s="1134"/>
      <c r="AZ208" s="1134"/>
      <c r="BA208" s="1134"/>
      <c r="BB208" s="1134"/>
    </row>
    <row r="209" spans="2:29">
      <c r="B209" s="849" t="s">
        <v>108</v>
      </c>
      <c r="AC209" s="1180"/>
    </row>
    <row r="210" spans="2:29" ht="27.65" customHeight="1">
      <c r="B210" s="1267" t="s">
        <v>1780</v>
      </c>
      <c r="C210" s="1267"/>
      <c r="D210" s="1267"/>
      <c r="E210" s="1267"/>
      <c r="F210" s="1267"/>
      <c r="G210" s="1267"/>
      <c r="H210" s="1267"/>
      <c r="I210" s="1267"/>
      <c r="J210" s="1267"/>
      <c r="K210" s="1267"/>
      <c r="L210" s="1267"/>
      <c r="M210" s="1267"/>
      <c r="N210" s="1267"/>
      <c r="O210" s="1267"/>
      <c r="P210" s="1267"/>
      <c r="Q210" s="1267"/>
      <c r="R210" s="1267"/>
      <c r="S210" s="1267"/>
      <c r="T210" s="1267"/>
      <c r="U210" s="1267"/>
      <c r="V210" s="1267"/>
      <c r="W210" s="1267"/>
    </row>
    <row r="211" spans="2:29">
      <c r="B211" s="352" t="s">
        <v>1242</v>
      </c>
    </row>
    <row r="212" spans="2:29">
      <c r="B212" s="352" t="s">
        <v>1298</v>
      </c>
    </row>
    <row r="213" spans="2:29" ht="14.5">
      <c r="B213" s="479" t="s">
        <v>1564</v>
      </c>
    </row>
    <row r="214" spans="2:29" ht="14.5">
      <c r="B214" s="352" t="s">
        <v>1568</v>
      </c>
    </row>
    <row r="215" spans="2:29">
      <c r="C215" s="888"/>
      <c r="D215" s="888"/>
      <c r="E215" s="888"/>
      <c r="F215" s="888"/>
      <c r="G215" s="888"/>
      <c r="H215" s="888"/>
      <c r="I215" s="888"/>
      <c r="J215" s="888"/>
      <c r="K215" s="888"/>
      <c r="L215" s="888"/>
      <c r="O215" s="888"/>
    </row>
    <row r="216" spans="2:29">
      <c r="C216" s="1373"/>
      <c r="D216" s="1373"/>
      <c r="E216" s="1373"/>
      <c r="F216" s="1373"/>
      <c r="H216" s="1373"/>
      <c r="I216" s="1373"/>
      <c r="K216" s="1373"/>
      <c r="L216" s="1373"/>
      <c r="O216" s="355"/>
      <c r="P216" s="888"/>
    </row>
    <row r="217" spans="2:29">
      <c r="C217" s="1374"/>
      <c r="D217" s="1374"/>
      <c r="E217" s="1374"/>
      <c r="F217" s="1374"/>
      <c r="H217" s="888"/>
      <c r="I217" s="888"/>
      <c r="K217" s="888"/>
      <c r="L217" s="888"/>
      <c r="O217" s="888"/>
    </row>
    <row r="218" spans="2:29">
      <c r="C218" s="1375"/>
      <c r="D218" s="1375"/>
      <c r="E218" s="1375"/>
      <c r="F218" s="1375"/>
      <c r="H218" s="1375"/>
      <c r="I218" s="1375"/>
      <c r="K218" s="1375"/>
      <c r="L218" s="1375"/>
    </row>
    <row r="219" spans="2:29">
      <c r="C219" s="888"/>
    </row>
  </sheetData>
  <mergeCells count="29">
    <mergeCell ref="AX5:AX6"/>
    <mergeCell ref="AZ5:BA5"/>
    <mergeCell ref="B210:W210"/>
    <mergeCell ref="AF5:AH5"/>
    <mergeCell ref="AI5:AI6"/>
    <mergeCell ref="AL5:AL6"/>
    <mergeCell ref="AN5:AO5"/>
    <mergeCell ref="AR5:AT5"/>
    <mergeCell ref="AU5:AU6"/>
    <mergeCell ref="AR4:AU4"/>
    <mergeCell ref="AW4:BA4"/>
    <mergeCell ref="C5:E5"/>
    <mergeCell ref="F5:F6"/>
    <mergeCell ref="I5:I6"/>
    <mergeCell ref="K5:L5"/>
    <mergeCell ref="O5:Q5"/>
    <mergeCell ref="R5:R6"/>
    <mergeCell ref="U5:U6"/>
    <mergeCell ref="W5:X5"/>
    <mergeCell ref="B3:L3"/>
    <mergeCell ref="N3:X3"/>
    <mergeCell ref="AE3:AO3"/>
    <mergeCell ref="AQ3:BA3"/>
    <mergeCell ref="C4:F4"/>
    <mergeCell ref="H4:L4"/>
    <mergeCell ref="O4:R4"/>
    <mergeCell ref="T4:X4"/>
    <mergeCell ref="AF4:AI4"/>
    <mergeCell ref="AK4:AO4"/>
  </mergeCells>
  <conditionalFormatting sqref="AD8:AD206">
    <cfRule type="colorScale" priority="3">
      <colorScale>
        <cfvo type="min"/>
        <cfvo type="percentile" val="50"/>
        <cfvo type="max"/>
        <color rgb="FFF8696B"/>
        <color rgb="FFFCFCFF"/>
        <color rgb="FF5A8AC6"/>
      </colorScale>
    </cfRule>
  </conditionalFormatting>
  <conditionalFormatting sqref="AC92">
    <cfRule type="colorScale" priority="2">
      <colorScale>
        <cfvo type="min"/>
        <cfvo type="percentile" val="50"/>
        <cfvo type="max"/>
        <color rgb="FFF8696B"/>
        <color rgb="FFFCFCFF"/>
        <color rgb="FF5A8AC6"/>
      </colorScale>
    </cfRule>
  </conditionalFormatting>
  <conditionalFormatting sqref="AB92">
    <cfRule type="colorScale" priority="1">
      <colorScale>
        <cfvo type="min"/>
        <cfvo type="percentile" val="50"/>
        <cfvo type="max"/>
        <color rgb="FFF8696B"/>
        <color rgb="FFFCFCFF"/>
        <color rgb="FF5A8AC6"/>
      </colorScale>
    </cfRule>
  </conditionalFormatting>
  <pageMargins left="0.7" right="0.7" top="0.75" bottom="0.75" header="0.3" footer="0.3"/>
  <pageSetup scale="63" fitToHeight="0" orientation="landscape" r:id="rId1"/>
  <rowBreaks count="1" manualBreakCount="1">
    <brk id="58" min="1"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6A1E-F84A-4FCE-B2C5-FB0203AD1120}">
  <dimension ref="A7:AR267"/>
  <sheetViews>
    <sheetView zoomScale="52" workbookViewId="0">
      <selection activeCell="I37" sqref="I37"/>
    </sheetView>
  </sheetViews>
  <sheetFormatPr defaultRowHeight="12.5"/>
  <cols>
    <col min="1" max="2" width="8.7265625" style="352"/>
    <col min="3" max="3" width="15.90625" style="352" customWidth="1"/>
    <col min="4" max="4" width="19.54296875" style="352" customWidth="1"/>
    <col min="5" max="5" width="26.6328125" style="352" customWidth="1"/>
    <col min="6" max="44" width="8.7265625" style="352"/>
    <col min="45" max="16384" width="8.7265625" style="479"/>
  </cols>
  <sheetData>
    <row r="7" spans="2:7" ht="13">
      <c r="B7" s="1114" t="s">
        <v>1686</v>
      </c>
    </row>
    <row r="8" spans="2:7" ht="14.5">
      <c r="B8" s="1115" t="s">
        <v>1687</v>
      </c>
      <c r="C8" s="229" t="s">
        <v>818</v>
      </c>
      <c r="D8" s="229" t="s">
        <v>821</v>
      </c>
      <c r="E8" s="229" t="s">
        <v>1688</v>
      </c>
      <c r="F8" s="1116"/>
      <c r="G8" s="1117"/>
    </row>
    <row r="9" spans="2:7">
      <c r="B9" s="1118" t="s">
        <v>1689</v>
      </c>
      <c r="C9" s="880" t="s">
        <v>19</v>
      </c>
      <c r="D9" s="880">
        <v>3.412660153565414</v>
      </c>
      <c r="E9" s="880">
        <v>15.633846892182691</v>
      </c>
      <c r="G9" s="1119"/>
    </row>
    <row r="10" spans="2:7">
      <c r="B10" s="1118" t="s">
        <v>1690</v>
      </c>
      <c r="C10" s="880" t="s">
        <v>21</v>
      </c>
      <c r="D10" s="880">
        <v>4.1538214254109116</v>
      </c>
      <c r="E10" s="880">
        <v>5.2514737537682885</v>
      </c>
      <c r="G10" s="1119"/>
    </row>
    <row r="11" spans="2:7">
      <c r="B11" s="1118" t="s">
        <v>1691</v>
      </c>
      <c r="C11" s="880" t="s">
        <v>20</v>
      </c>
      <c r="D11" s="880">
        <v>4.7843243517875598</v>
      </c>
      <c r="E11" s="880">
        <v>7.3670127186817282</v>
      </c>
      <c r="G11" s="1119"/>
    </row>
    <row r="12" spans="2:7">
      <c r="B12" s="1120" t="s">
        <v>1692</v>
      </c>
      <c r="C12" s="352" t="s">
        <v>1023</v>
      </c>
      <c r="D12" s="601">
        <v>6.047351260148055</v>
      </c>
      <c r="E12" s="601">
        <v>5.7474826026200523</v>
      </c>
      <c r="G12" s="1119"/>
    </row>
    <row r="13" spans="2:7">
      <c r="B13" s="1118" t="s">
        <v>1693</v>
      </c>
      <c r="C13" s="880" t="s">
        <v>6</v>
      </c>
      <c r="D13" s="880">
        <v>6.3988747084813387</v>
      </c>
      <c r="E13" s="880">
        <v>10.133706995889202</v>
      </c>
      <c r="G13" s="1119"/>
    </row>
    <row r="14" spans="2:7">
      <c r="B14" s="1118" t="s">
        <v>1694</v>
      </c>
      <c r="C14" s="880" t="s">
        <v>36</v>
      </c>
      <c r="D14" s="880">
        <v>7.4022943167997886</v>
      </c>
      <c r="E14" s="880">
        <v>4.5196068763764252</v>
      </c>
      <c r="G14" s="1119"/>
    </row>
    <row r="15" spans="2:7">
      <c r="B15" s="1118" t="s">
        <v>1695</v>
      </c>
      <c r="C15" s="880" t="s">
        <v>558</v>
      </c>
      <c r="D15" s="880">
        <v>7.9111095244692748</v>
      </c>
      <c r="E15" s="880">
        <v>6.2155277269910725</v>
      </c>
      <c r="G15" s="1119"/>
    </row>
    <row r="16" spans="2:7">
      <c r="B16" s="1118" t="s">
        <v>1696</v>
      </c>
      <c r="C16" s="880" t="s">
        <v>547</v>
      </c>
      <c r="D16" s="880">
        <v>8.1786083953747628</v>
      </c>
      <c r="E16" s="880">
        <v>11.880038211167678</v>
      </c>
      <c r="G16" s="1119"/>
    </row>
    <row r="17" spans="2:8">
      <c r="B17" s="1120" t="s">
        <v>1697</v>
      </c>
      <c r="C17" s="352" t="s">
        <v>32</v>
      </c>
      <c r="D17" s="601">
        <v>8.3916545151825215</v>
      </c>
      <c r="E17" s="601">
        <v>14.371343413420227</v>
      </c>
      <c r="G17" s="1119"/>
    </row>
    <row r="18" spans="2:8">
      <c r="B18" s="1120" t="s">
        <v>1698</v>
      </c>
      <c r="C18" s="352" t="s">
        <v>541</v>
      </c>
      <c r="D18" s="601">
        <v>9.1911264362891103</v>
      </c>
      <c r="E18" s="601">
        <v>15.476002537832619</v>
      </c>
      <c r="G18" s="1119"/>
    </row>
    <row r="19" spans="2:8">
      <c r="B19" s="1120" t="s">
        <v>1699</v>
      </c>
      <c r="C19" s="352" t="s">
        <v>2</v>
      </c>
      <c r="D19" s="601">
        <v>9.6358441242628725</v>
      </c>
      <c r="E19" s="601">
        <v>15.211519588685375</v>
      </c>
      <c r="G19" s="1119"/>
    </row>
    <row r="20" spans="2:8">
      <c r="B20" s="1120" t="s">
        <v>1700</v>
      </c>
      <c r="C20" s="352" t="s">
        <v>184</v>
      </c>
      <c r="D20" s="601">
        <v>10.2862785044276</v>
      </c>
      <c r="E20" s="601">
        <v>4.3494834988345135</v>
      </c>
      <c r="G20" s="1119"/>
    </row>
    <row r="21" spans="2:8">
      <c r="B21" s="1120" t="s">
        <v>1701</v>
      </c>
      <c r="C21" s="352" t="s">
        <v>4</v>
      </c>
      <c r="D21" s="601">
        <v>10.898555638640223</v>
      </c>
      <c r="E21" s="601">
        <v>35.253800114434831</v>
      </c>
      <c r="G21" s="1119"/>
    </row>
    <row r="22" spans="2:8">
      <c r="B22" s="1120" t="s">
        <v>820</v>
      </c>
      <c r="C22" s="352" t="s">
        <v>820</v>
      </c>
      <c r="D22" s="601">
        <v>11.689682936652421</v>
      </c>
      <c r="E22" s="601">
        <v>11.383563231643752</v>
      </c>
      <c r="G22" s="1119"/>
      <c r="H22" s="880"/>
    </row>
    <row r="23" spans="2:8">
      <c r="B23" s="1120" t="s">
        <v>1702</v>
      </c>
      <c r="C23" s="352" t="s">
        <v>3</v>
      </c>
      <c r="D23" s="601">
        <v>15.322666856715248</v>
      </c>
      <c r="E23" s="601">
        <v>27.786270524971673</v>
      </c>
      <c r="G23" s="1119"/>
    </row>
    <row r="24" spans="2:8">
      <c r="B24" s="1120" t="s">
        <v>1703</v>
      </c>
      <c r="C24" s="1121" t="s">
        <v>1</v>
      </c>
      <c r="D24" s="880">
        <v>15.923588544631171</v>
      </c>
      <c r="E24" s="601">
        <v>3.9502835723081042</v>
      </c>
      <c r="G24" s="1119"/>
    </row>
    <row r="25" spans="2:8">
      <c r="B25" s="1120" t="s">
        <v>1704</v>
      </c>
      <c r="C25" s="352" t="s">
        <v>5</v>
      </c>
      <c r="D25" s="601">
        <v>16.725807215115971</v>
      </c>
      <c r="E25" s="601">
        <v>28.328059722826829</v>
      </c>
      <c r="G25" s="1119"/>
    </row>
    <row r="26" spans="2:8">
      <c r="B26" s="1120" t="s">
        <v>1705</v>
      </c>
      <c r="C26" s="352" t="s">
        <v>0</v>
      </c>
      <c r="D26" s="880">
        <v>18.370673152863606</v>
      </c>
      <c r="E26" s="601">
        <v>1.7776432412226326</v>
      </c>
      <c r="G26" s="1119"/>
    </row>
    <row r="27" spans="2:8">
      <c r="B27" s="1120" t="s">
        <v>1706</v>
      </c>
      <c r="C27" s="352" t="s">
        <v>31</v>
      </c>
      <c r="D27" s="601">
        <v>18.39709108521307</v>
      </c>
      <c r="E27" s="601">
        <v>4.6898725825572125</v>
      </c>
      <c r="G27" s="1119"/>
    </row>
    <row r="28" spans="2:8">
      <c r="B28" s="1120" t="s">
        <v>1707</v>
      </c>
      <c r="C28" s="352" t="s">
        <v>7</v>
      </c>
      <c r="D28" s="601">
        <v>19.27047748644793</v>
      </c>
      <c r="E28" s="601">
        <v>16.715126946045977</v>
      </c>
      <c r="G28" s="1119"/>
    </row>
    <row r="29" spans="2:8">
      <c r="B29" s="1120" t="s">
        <v>1708</v>
      </c>
      <c r="C29" s="352" t="s">
        <v>553</v>
      </c>
      <c r="D29" s="601">
        <v>19.27864943902545</v>
      </c>
      <c r="E29" s="601">
        <v>1.9558050155533067</v>
      </c>
      <c r="G29" s="1119"/>
    </row>
    <row r="30" spans="2:8">
      <c r="B30" s="1122" t="s">
        <v>1709</v>
      </c>
      <c r="C30" s="2" t="s">
        <v>8</v>
      </c>
      <c r="D30" s="1123">
        <v>25.501884534848941</v>
      </c>
      <c r="E30" s="1123">
        <v>2.4409213281483697</v>
      </c>
      <c r="F30" s="2"/>
      <c r="G30" s="1124"/>
    </row>
    <row r="32" spans="2:8" ht="13">
      <c r="B32" s="1114" t="s">
        <v>1710</v>
      </c>
    </row>
    <row r="33" spans="2:6">
      <c r="B33" s="1115" t="s">
        <v>1687</v>
      </c>
      <c r="C33" s="229" t="s">
        <v>818</v>
      </c>
      <c r="D33" s="229" t="s">
        <v>821</v>
      </c>
      <c r="E33" s="229" t="s">
        <v>1688</v>
      </c>
      <c r="F33" s="1125"/>
    </row>
    <row r="34" spans="2:6">
      <c r="B34" s="1120" t="s">
        <v>1711</v>
      </c>
      <c r="C34" s="352" t="s">
        <v>14</v>
      </c>
      <c r="D34" s="880">
        <v>0.65442396745349374</v>
      </c>
      <c r="E34" s="880">
        <v>1.1974658424331148</v>
      </c>
      <c r="F34" s="1119"/>
    </row>
    <row r="35" spans="2:6">
      <c r="B35" s="1120" t="s">
        <v>1712</v>
      </c>
      <c r="C35" s="352" t="s">
        <v>23</v>
      </c>
      <c r="D35" s="880">
        <v>1.5680273855370135</v>
      </c>
      <c r="E35" s="880">
        <v>0.12734274711168164</v>
      </c>
      <c r="F35" s="1119"/>
    </row>
    <row r="36" spans="2:6">
      <c r="B36" s="1120" t="s">
        <v>1713</v>
      </c>
      <c r="C36" s="352" t="s">
        <v>554</v>
      </c>
      <c r="D36" s="880">
        <v>1.9924764282578782</v>
      </c>
      <c r="E36" s="880"/>
      <c r="F36" s="1119"/>
    </row>
    <row r="37" spans="2:6">
      <c r="B37" s="1120" t="s">
        <v>1714</v>
      </c>
      <c r="C37" s="352" t="s">
        <v>41</v>
      </c>
      <c r="D37" s="880">
        <v>2.2512745821149296</v>
      </c>
      <c r="E37" s="880">
        <v>1.6169375451654189</v>
      </c>
      <c r="F37" s="1119"/>
    </row>
    <row r="38" spans="2:6">
      <c r="B38" s="1120" t="s">
        <v>1715</v>
      </c>
      <c r="C38" s="352" t="s">
        <v>56</v>
      </c>
      <c r="D38" s="880">
        <v>2.4280205714042915</v>
      </c>
      <c r="E38" s="880"/>
      <c r="F38" s="1119"/>
    </row>
    <row r="39" spans="2:6">
      <c r="B39" s="1120" t="s">
        <v>1716</v>
      </c>
      <c r="C39" s="352" t="s">
        <v>16</v>
      </c>
      <c r="D39" s="880">
        <v>2.5748045471962433</v>
      </c>
      <c r="E39" s="880">
        <v>0.97888278462693656</v>
      </c>
      <c r="F39" s="1119"/>
    </row>
    <row r="40" spans="2:6">
      <c r="B40" s="1120" t="s">
        <v>1717</v>
      </c>
      <c r="C40" s="352" t="s">
        <v>30</v>
      </c>
      <c r="D40" s="880">
        <v>2.7063675838678867</v>
      </c>
      <c r="E40" s="880">
        <v>0.81599022629182516</v>
      </c>
      <c r="F40" s="1119"/>
    </row>
    <row r="41" spans="2:6">
      <c r="B41" s="1120" t="s">
        <v>1718</v>
      </c>
      <c r="C41" s="352" t="s">
        <v>557</v>
      </c>
      <c r="D41" s="880">
        <v>3.4105481432975906</v>
      </c>
      <c r="E41" s="880">
        <v>4.1779214755395486</v>
      </c>
      <c r="F41" s="1119"/>
    </row>
    <row r="42" spans="2:6">
      <c r="B42" s="1120" t="s">
        <v>1719</v>
      </c>
      <c r="C42" s="352" t="s">
        <v>18</v>
      </c>
      <c r="D42" s="880">
        <v>3.5051335544057456</v>
      </c>
      <c r="E42" s="880">
        <v>9.6336683671683065</v>
      </c>
      <c r="F42" s="1119"/>
    </row>
    <row r="43" spans="2:6">
      <c r="B43" s="1120" t="s">
        <v>1720</v>
      </c>
      <c r="C43" s="352" t="s">
        <v>1054</v>
      </c>
      <c r="D43" s="880">
        <v>3.6</v>
      </c>
      <c r="E43" s="880"/>
      <c r="F43" s="1119"/>
    </row>
    <row r="44" spans="2:6">
      <c r="B44" s="1120" t="s">
        <v>1721</v>
      </c>
      <c r="C44" s="352" t="s">
        <v>12</v>
      </c>
      <c r="D44" s="880">
        <v>4.0942849748831005</v>
      </c>
      <c r="E44" s="880">
        <v>6.2246558359377007</v>
      </c>
      <c r="F44" s="1119"/>
    </row>
    <row r="45" spans="2:6">
      <c r="B45" s="1120" t="s">
        <v>1722</v>
      </c>
      <c r="C45" s="352" t="s">
        <v>556</v>
      </c>
      <c r="D45" s="880">
        <v>4.4540862311094349</v>
      </c>
      <c r="E45" s="880">
        <v>0.58533048093428119</v>
      </c>
      <c r="F45" s="1119"/>
    </row>
    <row r="46" spans="2:6">
      <c r="B46" s="1120" t="s">
        <v>1723</v>
      </c>
      <c r="C46" s="352" t="s">
        <v>34</v>
      </c>
      <c r="D46" s="880">
        <v>4.6169047873067024</v>
      </c>
      <c r="E46" s="880">
        <v>5.3832647172315324</v>
      </c>
      <c r="F46" s="1119"/>
    </row>
    <row r="47" spans="2:6">
      <c r="B47" s="1120" t="s">
        <v>1724</v>
      </c>
      <c r="C47" s="352" t="s">
        <v>11</v>
      </c>
      <c r="D47" s="880">
        <v>4.7801156546253365</v>
      </c>
      <c r="E47" s="880">
        <v>1.296401676315599</v>
      </c>
      <c r="F47" s="1119"/>
    </row>
    <row r="48" spans="2:6">
      <c r="B48" s="1120" t="s">
        <v>1725</v>
      </c>
      <c r="C48" s="352" t="s">
        <v>963</v>
      </c>
      <c r="D48" s="880">
        <v>4.9999322298342346</v>
      </c>
      <c r="E48" s="880">
        <v>3.0150193747373906</v>
      </c>
      <c r="F48" s="1119"/>
    </row>
    <row r="49" spans="2:6">
      <c r="B49" s="1120" t="s">
        <v>1726</v>
      </c>
      <c r="C49" s="352" t="s">
        <v>15</v>
      </c>
      <c r="D49" s="880">
        <v>5.0052604782800296</v>
      </c>
      <c r="E49" s="880">
        <v>1.464931484771163</v>
      </c>
      <c r="F49" s="1119"/>
    </row>
    <row r="50" spans="2:6">
      <c r="B50" s="1120" t="s">
        <v>1727</v>
      </c>
      <c r="C50" s="352" t="s">
        <v>17</v>
      </c>
      <c r="D50" s="880">
        <v>5.2761463161134641</v>
      </c>
      <c r="E50" s="880">
        <v>4.0820635535067034</v>
      </c>
      <c r="F50" s="1119"/>
    </row>
    <row r="51" spans="2:6">
      <c r="B51" s="1120" t="s">
        <v>1728</v>
      </c>
      <c r="C51" s="352" t="s">
        <v>27</v>
      </c>
      <c r="D51" s="880">
        <v>5.2881375195675631</v>
      </c>
      <c r="E51" s="880">
        <v>3.8969661376660198</v>
      </c>
      <c r="F51" s="1119"/>
    </row>
    <row r="52" spans="2:6">
      <c r="B52" s="1120" t="s">
        <v>1729</v>
      </c>
      <c r="C52" s="352" t="s">
        <v>9</v>
      </c>
      <c r="D52" s="880">
        <v>5.3494285646507498</v>
      </c>
      <c r="E52" s="880">
        <v>2.5591817628180888</v>
      </c>
      <c r="F52" s="1119"/>
    </row>
    <row r="53" spans="2:6">
      <c r="B53" s="1120" t="s">
        <v>1730</v>
      </c>
      <c r="C53" s="352" t="s">
        <v>35</v>
      </c>
      <c r="D53" s="880">
        <v>5.4981978129390923</v>
      </c>
      <c r="E53" s="880">
        <v>2.8523315300149559</v>
      </c>
      <c r="F53" s="1119"/>
    </row>
    <row r="54" spans="2:6">
      <c r="B54" s="1120" t="s">
        <v>1731</v>
      </c>
      <c r="C54" s="352" t="s">
        <v>1731</v>
      </c>
      <c r="D54" s="880">
        <v>5.6698092972075358</v>
      </c>
      <c r="E54" s="880">
        <v>4.2361312566225386</v>
      </c>
      <c r="F54" s="1119"/>
    </row>
    <row r="55" spans="2:6">
      <c r="B55" s="1120" t="s">
        <v>1732</v>
      </c>
      <c r="C55" s="352" t="s">
        <v>22</v>
      </c>
      <c r="D55" s="880">
        <v>6.463386978297736</v>
      </c>
      <c r="E55" s="880">
        <v>4.8195695177719475</v>
      </c>
      <c r="F55" s="1119"/>
    </row>
    <row r="56" spans="2:6">
      <c r="B56" s="1120" t="s">
        <v>1733</v>
      </c>
      <c r="C56" s="352" t="s">
        <v>549</v>
      </c>
      <c r="D56" s="880">
        <v>7.1244589204446775</v>
      </c>
      <c r="E56" s="880">
        <v>0</v>
      </c>
      <c r="F56" s="1119"/>
    </row>
    <row r="57" spans="2:6">
      <c r="B57" s="1120" t="s">
        <v>1734</v>
      </c>
      <c r="C57" s="352" t="s">
        <v>92</v>
      </c>
      <c r="D57" s="880">
        <v>9.1999999999999993</v>
      </c>
      <c r="E57" s="880">
        <v>37.268193384223913</v>
      </c>
      <c r="F57" s="1119"/>
    </row>
    <row r="58" spans="2:6">
      <c r="B58" s="1120" t="s">
        <v>1735</v>
      </c>
      <c r="C58" s="352" t="s">
        <v>10</v>
      </c>
      <c r="D58" s="880">
        <v>9.2362126130761357</v>
      </c>
      <c r="E58" s="880">
        <v>6.1507617357903435</v>
      </c>
      <c r="F58" s="1119"/>
    </row>
    <row r="59" spans="2:6">
      <c r="B59" s="1120" t="s">
        <v>1736</v>
      </c>
      <c r="C59" s="352" t="s">
        <v>13</v>
      </c>
      <c r="D59" s="880">
        <v>9.3296348167315557</v>
      </c>
      <c r="E59" s="880">
        <v>0.87565550573371964</v>
      </c>
      <c r="F59" s="1119"/>
    </row>
    <row r="60" spans="2:6">
      <c r="B60" s="1120" t="s">
        <v>1737</v>
      </c>
      <c r="C60" s="352" t="s">
        <v>555</v>
      </c>
      <c r="D60" s="880">
        <v>9.5938667869694285</v>
      </c>
      <c r="E60" s="880">
        <v>9.6353601006978682</v>
      </c>
      <c r="F60" s="1119"/>
    </row>
    <row r="61" spans="2:6">
      <c r="B61" s="1120" t="s">
        <v>1738</v>
      </c>
      <c r="C61" s="352" t="s">
        <v>953</v>
      </c>
      <c r="D61" s="880">
        <v>12.153288105042478</v>
      </c>
      <c r="E61" s="880">
        <v>3.203050328889208</v>
      </c>
      <c r="F61" s="1119"/>
    </row>
    <row r="62" spans="2:6">
      <c r="B62" s="1120" t="s">
        <v>1739</v>
      </c>
      <c r="C62" s="352" t="s">
        <v>42</v>
      </c>
      <c r="D62" s="880">
        <v>12.682470249573225</v>
      </c>
      <c r="E62" s="880">
        <v>2.4993918327164151</v>
      </c>
      <c r="F62" s="1119"/>
    </row>
    <row r="63" spans="2:6">
      <c r="B63" s="1122" t="s">
        <v>1740</v>
      </c>
      <c r="C63" s="2" t="s">
        <v>559</v>
      </c>
      <c r="D63" s="1126">
        <v>14.587579816038515</v>
      </c>
      <c r="E63" s="1126">
        <v>4.2361312566225386</v>
      </c>
      <c r="F63" s="1124"/>
    </row>
    <row r="65" spans="2:12" ht="13">
      <c r="B65" s="1114" t="s">
        <v>1741</v>
      </c>
    </row>
    <row r="66" spans="2:12">
      <c r="B66" s="1115" t="s">
        <v>1687</v>
      </c>
      <c r="C66" s="229" t="s">
        <v>818</v>
      </c>
      <c r="D66" s="229" t="s">
        <v>821</v>
      </c>
      <c r="E66" s="1125" t="s">
        <v>1688</v>
      </c>
    </row>
    <row r="67" spans="2:12">
      <c r="B67" s="1120" t="s">
        <v>1742</v>
      </c>
      <c r="C67" s="352" t="s">
        <v>912</v>
      </c>
      <c r="D67" s="880">
        <v>0.72281351560912455</v>
      </c>
      <c r="E67" s="1127">
        <v>0.26062987341675165</v>
      </c>
    </row>
    <row r="68" spans="2:12">
      <c r="B68" s="1120" t="s">
        <v>1743</v>
      </c>
      <c r="C68" s="352" t="s">
        <v>915</v>
      </c>
      <c r="D68" s="880">
        <v>0.73950497267868009</v>
      </c>
      <c r="E68" s="1127">
        <v>1.2643271887137633</v>
      </c>
    </row>
    <row r="69" spans="2:12">
      <c r="B69" s="1120" t="s">
        <v>1744</v>
      </c>
      <c r="C69" s="352" t="s">
        <v>33</v>
      </c>
      <c r="D69" s="880">
        <v>1.7703277371912942</v>
      </c>
      <c r="E69" s="1127">
        <v>0.95527150819157258</v>
      </c>
    </row>
    <row r="70" spans="2:12">
      <c r="B70" s="1120" t="s">
        <v>1745</v>
      </c>
      <c r="C70" s="352" t="s">
        <v>916</v>
      </c>
      <c r="D70" s="880">
        <v>2.0034076510126715</v>
      </c>
      <c r="E70" s="1127">
        <v>0.25395308252273302</v>
      </c>
    </row>
    <row r="71" spans="2:12">
      <c r="B71" s="1120" t="s">
        <v>1746</v>
      </c>
      <c r="C71" s="352" t="s">
        <v>37</v>
      </c>
      <c r="D71" s="880">
        <v>2.3031524031183657</v>
      </c>
      <c r="E71" s="1127">
        <v>7.3010489709098458E-2</v>
      </c>
    </row>
    <row r="72" spans="2:12">
      <c r="B72" s="1120" t="s">
        <v>1747</v>
      </c>
      <c r="C72" s="352" t="s">
        <v>29</v>
      </c>
      <c r="D72" s="880">
        <v>2.3707909284496753</v>
      </c>
      <c r="E72" s="1127"/>
    </row>
    <row r="73" spans="2:12">
      <c r="B73" s="1120" t="s">
        <v>1748</v>
      </c>
      <c r="C73" s="352" t="s">
        <v>552</v>
      </c>
      <c r="D73" s="880">
        <v>2.4514108377373729</v>
      </c>
      <c r="E73" s="1127"/>
    </row>
    <row r="74" spans="2:12" ht="13">
      <c r="B74" s="1120" t="s">
        <v>1749</v>
      </c>
      <c r="C74" s="352" t="s">
        <v>548</v>
      </c>
      <c r="D74" s="880">
        <v>2.5012230728926022</v>
      </c>
      <c r="E74" s="1127">
        <v>0.62234223377659526</v>
      </c>
      <c r="L74" s="1128"/>
    </row>
    <row r="75" spans="2:12" ht="13">
      <c r="B75" s="1120" t="s">
        <v>819</v>
      </c>
      <c r="C75" s="352" t="s">
        <v>819</v>
      </c>
      <c r="D75" s="880">
        <v>3.1979067729239525</v>
      </c>
      <c r="E75" s="1127">
        <v>0.85001052979939085</v>
      </c>
      <c r="L75" s="1128"/>
    </row>
    <row r="76" spans="2:12" ht="13">
      <c r="B76" s="1120" t="s">
        <v>1750</v>
      </c>
      <c r="C76" s="352" t="s">
        <v>550</v>
      </c>
      <c r="D76" s="880">
        <v>3.2595714054750369</v>
      </c>
      <c r="E76" s="1127">
        <v>0.31291885492560356</v>
      </c>
      <c r="L76" s="1128"/>
    </row>
    <row r="77" spans="2:12" ht="13">
      <c r="B77" s="1120" t="s">
        <v>1751</v>
      </c>
      <c r="C77" s="352" t="s">
        <v>38</v>
      </c>
      <c r="D77" s="880">
        <v>3.4</v>
      </c>
      <c r="E77" s="1127">
        <v>1.173741782953889</v>
      </c>
      <c r="L77" s="1128"/>
    </row>
    <row r="78" spans="2:12" ht="13">
      <c r="B78" s="1120" t="s">
        <v>1752</v>
      </c>
      <c r="C78" s="352" t="s">
        <v>1095</v>
      </c>
      <c r="D78" s="880">
        <v>5.2826581188893638</v>
      </c>
      <c r="E78" s="1127">
        <v>0</v>
      </c>
      <c r="L78" s="1128"/>
    </row>
    <row r="79" spans="2:12" ht="13">
      <c r="B79" s="1120" t="s">
        <v>1753</v>
      </c>
      <c r="C79" s="352" t="s">
        <v>93</v>
      </c>
      <c r="D79" s="880">
        <v>5.6043392101381073</v>
      </c>
      <c r="E79" s="1127">
        <v>1.4098966566385176</v>
      </c>
      <c r="L79" s="1128"/>
    </row>
    <row r="80" spans="2:12" ht="13">
      <c r="B80" s="1120" t="s">
        <v>1754</v>
      </c>
      <c r="C80" s="352" t="s">
        <v>913</v>
      </c>
      <c r="D80" s="880">
        <v>5.6592682383610757</v>
      </c>
      <c r="E80" s="1127">
        <v>2.0537666994052293</v>
      </c>
      <c r="L80" s="1128"/>
    </row>
    <row r="81" spans="2:12" ht="13">
      <c r="B81" s="1122" t="s">
        <v>1755</v>
      </c>
      <c r="C81" s="2" t="s">
        <v>566</v>
      </c>
      <c r="D81" s="1126">
        <v>6.702226729381966</v>
      </c>
      <c r="E81" s="1129">
        <v>1.8202679873389367</v>
      </c>
      <c r="L81" s="1128"/>
    </row>
    <row r="82" spans="2:12" ht="13">
      <c r="L82" s="1128"/>
    </row>
    <row r="83" spans="2:12" ht="13">
      <c r="L83" s="1128"/>
    </row>
    <row r="84" spans="2:12" ht="13">
      <c r="D84" s="880"/>
      <c r="E84" s="880"/>
      <c r="L84" s="1128"/>
    </row>
    <row r="85" spans="2:12" ht="13">
      <c r="L85" s="1128"/>
    </row>
    <row r="86" spans="2:12" ht="13">
      <c r="L86" s="1128"/>
    </row>
    <row r="87" spans="2:12" ht="13">
      <c r="L87" s="1128"/>
    </row>
    <row r="88" spans="2:12" ht="13">
      <c r="L88" s="1128"/>
    </row>
    <row r="89" spans="2:12" ht="13">
      <c r="L89" s="1128"/>
    </row>
    <row r="90" spans="2:12" ht="13">
      <c r="L90" s="1128"/>
    </row>
    <row r="91" spans="2:12" ht="13">
      <c r="L91" s="1128"/>
    </row>
    <row r="92" spans="2:12" ht="13">
      <c r="L92" s="1128"/>
    </row>
    <row r="93" spans="2:12" ht="13">
      <c r="L93" s="1128"/>
    </row>
    <row r="94" spans="2:12" ht="13">
      <c r="L94" s="1128"/>
    </row>
    <row r="95" spans="2:12" ht="13">
      <c r="L95" s="1128"/>
    </row>
    <row r="96" spans="2:12" ht="13">
      <c r="L96" s="1128"/>
    </row>
    <row r="97" spans="12:12" ht="13">
      <c r="L97" s="1128"/>
    </row>
    <row r="98" spans="12:12" ht="13">
      <c r="L98" s="1128"/>
    </row>
    <row r="99" spans="12:12" ht="13">
      <c r="L99" s="1128"/>
    </row>
    <row r="100" spans="12:12" ht="13">
      <c r="L100" s="1128"/>
    </row>
    <row r="101" spans="12:12" ht="13">
      <c r="L101" s="1128"/>
    </row>
    <row r="102" spans="12:12" ht="13">
      <c r="L102" s="1128"/>
    </row>
    <row r="103" spans="12:12" ht="13">
      <c r="L103" s="1128"/>
    </row>
    <row r="104" spans="12:12" ht="13">
      <c r="L104" s="1128"/>
    </row>
    <row r="105" spans="12:12" ht="13">
      <c r="L105" s="1128"/>
    </row>
    <row r="106" spans="12:12" ht="13">
      <c r="L106" s="1128"/>
    </row>
    <row r="107" spans="12:12" ht="13">
      <c r="L107" s="1128"/>
    </row>
    <row r="108" spans="12:12" ht="13">
      <c r="L108" s="1128"/>
    </row>
    <row r="109" spans="12:12" ht="13">
      <c r="L109" s="1128"/>
    </row>
    <row r="110" spans="12:12" ht="13">
      <c r="L110" s="1128"/>
    </row>
    <row r="111" spans="12:12" ht="13">
      <c r="L111" s="1128"/>
    </row>
    <row r="112" spans="12:12" ht="13">
      <c r="L112" s="1128"/>
    </row>
    <row r="113" spans="12:12" ht="13">
      <c r="L113" s="1128"/>
    </row>
    <row r="114" spans="12:12" ht="13">
      <c r="L114" s="1128"/>
    </row>
    <row r="115" spans="12:12" ht="13">
      <c r="L115" s="1128"/>
    </row>
    <row r="116" spans="12:12" ht="13">
      <c r="L116" s="1128"/>
    </row>
    <row r="117" spans="12:12" ht="13">
      <c r="L117" s="1128"/>
    </row>
    <row r="118" spans="12:12" ht="13">
      <c r="L118" s="1128"/>
    </row>
    <row r="119" spans="12:12" ht="13">
      <c r="L119" s="1128"/>
    </row>
    <row r="120" spans="12:12" ht="13">
      <c r="L120" s="1128"/>
    </row>
    <row r="121" spans="12:12" ht="13">
      <c r="L121" s="1128"/>
    </row>
    <row r="122" spans="12:12" ht="13">
      <c r="L122" s="1128"/>
    </row>
    <row r="123" spans="12:12" ht="13">
      <c r="L123" s="1128"/>
    </row>
    <row r="124" spans="12:12" ht="13">
      <c r="L124" s="1128"/>
    </row>
    <row r="125" spans="12:12" ht="13">
      <c r="L125" s="1128"/>
    </row>
    <row r="126" spans="12:12" ht="13">
      <c r="L126" s="1128"/>
    </row>
    <row r="127" spans="12:12" ht="13">
      <c r="L127" s="1128"/>
    </row>
    <row r="128" spans="12:12" ht="13">
      <c r="L128" s="1128"/>
    </row>
    <row r="129" spans="12:12" ht="13">
      <c r="L129" s="1128"/>
    </row>
    <row r="130" spans="12:12" ht="13">
      <c r="L130" s="1128"/>
    </row>
    <row r="131" spans="12:12" ht="13">
      <c r="L131" s="1128"/>
    </row>
    <row r="132" spans="12:12" ht="13">
      <c r="L132" s="1128"/>
    </row>
    <row r="133" spans="12:12" ht="13">
      <c r="L133" s="1128"/>
    </row>
    <row r="134" spans="12:12" ht="13">
      <c r="L134" s="1128"/>
    </row>
    <row r="135" spans="12:12" ht="13">
      <c r="L135" s="1128"/>
    </row>
    <row r="136" spans="12:12" ht="13">
      <c r="L136" s="1128"/>
    </row>
    <row r="137" spans="12:12" ht="13">
      <c r="L137" s="1128"/>
    </row>
    <row r="138" spans="12:12" ht="13">
      <c r="L138" s="1128"/>
    </row>
    <row r="139" spans="12:12" ht="13">
      <c r="L139" s="1128"/>
    </row>
    <row r="140" spans="12:12" ht="13">
      <c r="L140" s="1128"/>
    </row>
    <row r="141" spans="12:12" ht="13">
      <c r="L141" s="1128"/>
    </row>
    <row r="142" spans="12:12" ht="13">
      <c r="L142" s="1128"/>
    </row>
    <row r="143" spans="12:12" ht="13">
      <c r="L143" s="1128"/>
    </row>
    <row r="144" spans="12:12" ht="13">
      <c r="L144" s="1128"/>
    </row>
    <row r="145" spans="12:12" ht="13">
      <c r="L145" s="1128"/>
    </row>
    <row r="146" spans="12:12" ht="13">
      <c r="L146" s="1128"/>
    </row>
    <row r="147" spans="12:12" ht="13">
      <c r="L147" s="1128"/>
    </row>
    <row r="148" spans="12:12" ht="13">
      <c r="L148" s="1128"/>
    </row>
    <row r="149" spans="12:12" ht="13">
      <c r="L149" s="1128"/>
    </row>
    <row r="150" spans="12:12" ht="13">
      <c r="L150" s="1128"/>
    </row>
    <row r="151" spans="12:12" ht="13">
      <c r="L151" s="1128"/>
    </row>
    <row r="152" spans="12:12" ht="13">
      <c r="L152" s="1128"/>
    </row>
    <row r="153" spans="12:12" ht="13">
      <c r="L153" s="1128"/>
    </row>
    <row r="154" spans="12:12" ht="13">
      <c r="L154" s="1128"/>
    </row>
    <row r="155" spans="12:12" ht="13">
      <c r="L155" s="1128"/>
    </row>
    <row r="156" spans="12:12" ht="13">
      <c r="L156" s="1128"/>
    </row>
    <row r="157" spans="12:12" ht="13">
      <c r="L157" s="1128"/>
    </row>
    <row r="158" spans="12:12" ht="13">
      <c r="L158" s="1128"/>
    </row>
    <row r="159" spans="12:12" ht="13">
      <c r="L159" s="1128"/>
    </row>
    <row r="160" spans="12:12" ht="13">
      <c r="L160" s="1128"/>
    </row>
    <row r="161" spans="12:12" ht="13">
      <c r="L161" s="1128"/>
    </row>
    <row r="162" spans="12:12" ht="13">
      <c r="L162" s="1128"/>
    </row>
    <row r="163" spans="12:12" ht="13">
      <c r="L163" s="1128"/>
    </row>
    <row r="164" spans="12:12" ht="13">
      <c r="L164" s="1128"/>
    </row>
    <row r="165" spans="12:12" ht="13">
      <c r="L165" s="1128"/>
    </row>
    <row r="166" spans="12:12" ht="13">
      <c r="L166" s="1128"/>
    </row>
    <row r="167" spans="12:12" ht="13">
      <c r="L167" s="1128"/>
    </row>
    <row r="168" spans="12:12" ht="13">
      <c r="L168" s="1128"/>
    </row>
    <row r="169" spans="12:12" ht="13">
      <c r="L169" s="1128"/>
    </row>
    <row r="170" spans="12:12" ht="13">
      <c r="L170" s="1128"/>
    </row>
    <row r="171" spans="12:12" ht="13">
      <c r="L171" s="1128"/>
    </row>
    <row r="172" spans="12:12" ht="13">
      <c r="L172" s="1128"/>
    </row>
    <row r="173" spans="12:12" ht="13">
      <c r="L173" s="1128"/>
    </row>
    <row r="174" spans="12:12" ht="13">
      <c r="L174" s="1128"/>
    </row>
    <row r="175" spans="12:12" ht="13">
      <c r="L175" s="1128"/>
    </row>
    <row r="176" spans="12:12" ht="13">
      <c r="L176" s="1128"/>
    </row>
    <row r="177" spans="12:12" ht="13">
      <c r="L177" s="1128"/>
    </row>
    <row r="178" spans="12:12" ht="13">
      <c r="L178" s="1128"/>
    </row>
    <row r="179" spans="12:12" ht="13">
      <c r="L179" s="1128"/>
    </row>
    <row r="180" spans="12:12" ht="13">
      <c r="L180" s="1128"/>
    </row>
    <row r="181" spans="12:12" ht="13">
      <c r="L181" s="1128"/>
    </row>
    <row r="182" spans="12:12" ht="13">
      <c r="L182" s="1128"/>
    </row>
    <row r="183" spans="12:12" ht="13">
      <c r="L183" s="1128"/>
    </row>
    <row r="184" spans="12:12" ht="13">
      <c r="L184" s="1128"/>
    </row>
    <row r="185" spans="12:12" ht="13">
      <c r="L185" s="1128"/>
    </row>
    <row r="186" spans="12:12" ht="13">
      <c r="L186" s="1128"/>
    </row>
    <row r="187" spans="12:12" ht="13">
      <c r="L187" s="1128"/>
    </row>
    <row r="188" spans="12:12" ht="13">
      <c r="L188" s="1128"/>
    </row>
    <row r="189" spans="12:12" ht="13">
      <c r="L189" s="1128"/>
    </row>
    <row r="190" spans="12:12" ht="13">
      <c r="L190" s="1128"/>
    </row>
    <row r="191" spans="12:12" ht="13">
      <c r="L191" s="1128"/>
    </row>
    <row r="192" spans="12:12" ht="13">
      <c r="L192" s="1128"/>
    </row>
    <row r="193" spans="12:12" ht="13">
      <c r="L193" s="1128"/>
    </row>
    <row r="194" spans="12:12" ht="13">
      <c r="L194" s="1128"/>
    </row>
    <row r="195" spans="12:12" ht="13">
      <c r="L195" s="1128"/>
    </row>
    <row r="196" spans="12:12" ht="13">
      <c r="L196" s="1128"/>
    </row>
    <row r="197" spans="12:12" ht="13">
      <c r="L197" s="1128"/>
    </row>
    <row r="198" spans="12:12" ht="13">
      <c r="L198" s="1128"/>
    </row>
    <row r="199" spans="12:12" ht="13">
      <c r="L199" s="1128"/>
    </row>
    <row r="200" spans="12:12" ht="13">
      <c r="L200" s="1128"/>
    </row>
    <row r="201" spans="12:12" ht="13">
      <c r="L201" s="1128"/>
    </row>
    <row r="202" spans="12:12" ht="13">
      <c r="L202" s="1128"/>
    </row>
    <row r="203" spans="12:12" ht="13">
      <c r="L203" s="1128"/>
    </row>
    <row r="204" spans="12:12" ht="13">
      <c r="L204" s="1128"/>
    </row>
    <row r="205" spans="12:12" ht="13">
      <c r="L205" s="1128"/>
    </row>
    <row r="206" spans="12:12" ht="13">
      <c r="L206" s="1128"/>
    </row>
    <row r="207" spans="12:12" ht="13">
      <c r="L207" s="1128"/>
    </row>
    <row r="208" spans="12:12" ht="13">
      <c r="L208" s="1128"/>
    </row>
    <row r="209" spans="12:12" ht="13">
      <c r="L209" s="1128"/>
    </row>
    <row r="210" spans="12:12" ht="13">
      <c r="L210" s="1128"/>
    </row>
    <row r="211" spans="12:12" ht="13">
      <c r="L211" s="1128"/>
    </row>
    <row r="212" spans="12:12" ht="13">
      <c r="L212" s="1128"/>
    </row>
    <row r="213" spans="12:12" ht="13">
      <c r="L213" s="1128"/>
    </row>
    <row r="214" spans="12:12" ht="13">
      <c r="L214" s="1128"/>
    </row>
    <row r="215" spans="12:12" ht="13">
      <c r="L215" s="1128"/>
    </row>
    <row r="216" spans="12:12" ht="13">
      <c r="L216" s="1128"/>
    </row>
    <row r="217" spans="12:12" ht="13">
      <c r="L217" s="1128"/>
    </row>
    <row r="218" spans="12:12" ht="13">
      <c r="L218" s="1128"/>
    </row>
    <row r="219" spans="12:12" ht="13">
      <c r="L219" s="1128"/>
    </row>
    <row r="220" spans="12:12" ht="13">
      <c r="L220" s="1128"/>
    </row>
    <row r="221" spans="12:12" ht="13">
      <c r="L221" s="1128"/>
    </row>
    <row r="222" spans="12:12" ht="13">
      <c r="L222" s="1128"/>
    </row>
    <row r="223" spans="12:12" ht="13">
      <c r="L223" s="1128"/>
    </row>
    <row r="224" spans="12:12" ht="13">
      <c r="L224" s="1128"/>
    </row>
    <row r="225" spans="12:12" ht="13">
      <c r="L225" s="1128"/>
    </row>
    <row r="226" spans="12:12" ht="13">
      <c r="L226" s="1128"/>
    </row>
    <row r="227" spans="12:12" ht="13">
      <c r="L227" s="1128"/>
    </row>
    <row r="228" spans="12:12" ht="13">
      <c r="L228" s="1128"/>
    </row>
    <row r="229" spans="12:12" ht="13">
      <c r="L229" s="1128"/>
    </row>
    <row r="230" spans="12:12" ht="13">
      <c r="L230" s="1128"/>
    </row>
    <row r="231" spans="12:12" ht="13">
      <c r="L231" s="1128"/>
    </row>
    <row r="232" spans="12:12" ht="13">
      <c r="L232" s="1128"/>
    </row>
    <row r="233" spans="12:12" ht="13">
      <c r="L233" s="1128"/>
    </row>
    <row r="234" spans="12:12" ht="13">
      <c r="L234" s="1128"/>
    </row>
    <row r="235" spans="12:12" ht="13">
      <c r="L235" s="1128"/>
    </row>
    <row r="236" spans="12:12" ht="13">
      <c r="L236" s="1128"/>
    </row>
    <row r="237" spans="12:12" ht="13">
      <c r="L237" s="1128"/>
    </row>
    <row r="238" spans="12:12" ht="13">
      <c r="L238" s="1128"/>
    </row>
    <row r="239" spans="12:12" ht="13">
      <c r="L239" s="1128"/>
    </row>
    <row r="240" spans="12:12" ht="13">
      <c r="L240" s="1128"/>
    </row>
    <row r="241" spans="12:12" ht="13">
      <c r="L241" s="1128"/>
    </row>
    <row r="242" spans="12:12" ht="13">
      <c r="L242" s="1128"/>
    </row>
    <row r="243" spans="12:12" ht="13">
      <c r="L243" s="1128"/>
    </row>
    <row r="244" spans="12:12" ht="13">
      <c r="L244" s="1128"/>
    </row>
    <row r="245" spans="12:12" ht="13">
      <c r="L245" s="1128"/>
    </row>
    <row r="246" spans="12:12" ht="13">
      <c r="L246" s="1128"/>
    </row>
    <row r="247" spans="12:12" ht="13">
      <c r="L247" s="1128"/>
    </row>
    <row r="248" spans="12:12" ht="13">
      <c r="L248" s="1128"/>
    </row>
    <row r="249" spans="12:12" ht="13">
      <c r="L249" s="1128"/>
    </row>
    <row r="250" spans="12:12" ht="13">
      <c r="L250" s="1128"/>
    </row>
    <row r="251" spans="12:12" ht="13">
      <c r="L251" s="1128"/>
    </row>
    <row r="252" spans="12:12" ht="13">
      <c r="L252" s="1128"/>
    </row>
    <row r="253" spans="12:12" ht="13">
      <c r="L253" s="1128"/>
    </row>
    <row r="254" spans="12:12" ht="13">
      <c r="L254" s="1128"/>
    </row>
    <row r="255" spans="12:12" ht="13">
      <c r="L255" s="1128"/>
    </row>
    <row r="256" spans="12:12" ht="13">
      <c r="L256" s="1128"/>
    </row>
    <row r="257" spans="12:12" ht="13">
      <c r="L257" s="1128"/>
    </row>
    <row r="258" spans="12:12" ht="13">
      <c r="L258" s="1128"/>
    </row>
    <row r="259" spans="12:12" ht="13">
      <c r="L259" s="1128"/>
    </row>
    <row r="260" spans="12:12" ht="13">
      <c r="L260" s="1128"/>
    </row>
    <row r="261" spans="12:12" ht="13">
      <c r="L261" s="1128"/>
    </row>
    <row r="262" spans="12:12" ht="13">
      <c r="L262" s="1128"/>
    </row>
    <row r="263" spans="12:12" ht="13">
      <c r="L263" s="1128"/>
    </row>
    <row r="264" spans="12:12" ht="13">
      <c r="L264" s="1128"/>
    </row>
    <row r="265" spans="12:12" ht="13">
      <c r="L265" s="1128"/>
    </row>
    <row r="266" spans="12:12" ht="13">
      <c r="L266" s="1128"/>
    </row>
    <row r="267" spans="12:12" ht="13">
      <c r="L267" s="1128"/>
    </row>
  </sheetData>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B22CD-CB61-40B2-98EA-FCE7A2B54126}">
  <sheetPr>
    <tabColor rgb="FFFF0000"/>
    <pageSetUpPr fitToPage="1"/>
  </sheetPr>
  <dimension ref="A2:AE198"/>
  <sheetViews>
    <sheetView view="pageBreakPreview" zoomScale="77" zoomScaleNormal="100" zoomScaleSheetLayoutView="77" workbookViewId="0">
      <pane ySplit="5" topLeftCell="A131" activePane="bottomLeft" state="frozen"/>
      <selection activeCell="D123" sqref="D123:D125"/>
      <selection pane="bottomLeft" activeCell="D123" sqref="D123:D125"/>
    </sheetView>
  </sheetViews>
  <sheetFormatPr defaultColWidth="8.54296875" defaultRowHeight="12.5" outlineLevelRow="1" outlineLevelCol="1"/>
  <cols>
    <col min="1" max="1" width="6.54296875" style="33" customWidth="1" outlineLevel="1"/>
    <col min="2" max="2" width="7.1796875" style="33" customWidth="1" outlineLevel="1"/>
    <col min="3" max="3" width="5.81640625" style="553" customWidth="1"/>
    <col min="4" max="4" width="5.81640625" style="1002" customWidth="1"/>
    <col min="5" max="5" width="1.453125" style="55" customWidth="1"/>
    <col min="6" max="6" width="4" style="35" bestFit="1" customWidth="1"/>
    <col min="7" max="7" width="10.54296875" style="246" customWidth="1"/>
    <col min="8" max="8" width="7.54296875" style="33" customWidth="1"/>
    <col min="9" max="9" width="31.54296875" style="55" customWidth="1"/>
    <col min="10" max="10" width="8.453125" style="55" customWidth="1"/>
    <col min="11" max="11" width="50.453125" style="35" customWidth="1"/>
    <col min="12" max="12" width="9" style="35" customWidth="1"/>
    <col min="13" max="13" width="36.54296875" style="35" customWidth="1"/>
    <col min="14" max="14" width="1.453125" style="55" customWidth="1"/>
    <col min="15" max="15" width="4" style="35" bestFit="1" customWidth="1"/>
    <col min="16" max="16" width="9.453125" style="55" customWidth="1"/>
    <col min="17" max="17" width="8.453125" style="261" customWidth="1"/>
    <col min="18" max="18" width="32.1796875" style="35" customWidth="1"/>
    <col min="19" max="19" width="1.453125" style="55" customWidth="1"/>
    <col min="20" max="20" width="4" style="35" bestFit="1" customWidth="1"/>
    <col min="21" max="21" width="8.54296875" style="246" bestFit="1" customWidth="1"/>
    <col min="22" max="22" width="37.453125" style="35" customWidth="1"/>
    <col min="23" max="23" width="9" style="35" customWidth="1"/>
    <col min="24" max="24" width="37.1796875" style="35" customWidth="1"/>
    <col min="25" max="25" width="9.54296875" style="35" hidden="1" customWidth="1"/>
    <col min="26" max="26" width="2.54296875" style="55" customWidth="1"/>
    <col min="27" max="27" width="52.453125" style="997" customWidth="1" outlineLevel="1"/>
    <col min="28" max="28" width="31.453125" style="33" customWidth="1" outlineLevel="1"/>
    <col min="29" max="30" width="8.54296875" style="33" customWidth="1" outlineLevel="1"/>
    <col min="31" max="16384" width="8.54296875" style="33"/>
  </cols>
  <sheetData>
    <row r="2" spans="1:30" ht="21.65" customHeight="1">
      <c r="A2" s="591"/>
      <c r="C2" s="604" t="s">
        <v>874</v>
      </c>
      <c r="D2" s="604"/>
      <c r="E2" s="52"/>
      <c r="F2" s="605"/>
      <c r="G2" s="606"/>
      <c r="H2" s="2"/>
      <c r="I2" s="52"/>
      <c r="J2" s="52"/>
      <c r="K2" s="12"/>
      <c r="L2" s="12"/>
      <c r="M2" s="12"/>
      <c r="N2" s="52"/>
      <c r="O2" s="12"/>
      <c r="P2" s="52"/>
      <c r="Q2" s="262"/>
      <c r="R2" s="12"/>
      <c r="S2" s="52"/>
      <c r="T2" s="12"/>
      <c r="U2" s="248"/>
      <c r="V2" s="12"/>
      <c r="W2" s="12"/>
      <c r="X2" s="12"/>
    </row>
    <row r="3" spans="1:30" ht="116.15" customHeight="1" outlineLevel="1">
      <c r="A3" s="591"/>
      <c r="C3" s="1251" t="s">
        <v>1398</v>
      </c>
      <c r="D3" s="1251"/>
      <c r="E3" s="1251"/>
      <c r="F3" s="1251"/>
      <c r="G3" s="1251"/>
      <c r="H3" s="1251"/>
      <c r="I3" s="1251"/>
      <c r="J3" s="1251"/>
      <c r="K3" s="1251"/>
      <c r="L3" s="1251"/>
      <c r="M3" s="1251"/>
      <c r="N3" s="1251"/>
      <c r="O3" s="1251"/>
      <c r="P3" s="1251"/>
      <c r="Q3" s="1251"/>
      <c r="R3" s="1251"/>
      <c r="S3" s="1251"/>
      <c r="T3" s="1251"/>
      <c r="U3" s="1251"/>
      <c r="V3" s="1251"/>
      <c r="W3" s="1251"/>
      <c r="X3" s="1251"/>
    </row>
    <row r="4" spans="1:30" ht="13" customHeight="1">
      <c r="A4" s="14"/>
      <c r="B4" s="14"/>
      <c r="C4" s="597"/>
      <c r="D4" s="597"/>
      <c r="F4" s="597"/>
      <c r="G4" s="599"/>
      <c r="H4" s="1234" t="s">
        <v>592</v>
      </c>
      <c r="I4" s="1234"/>
      <c r="J4" s="1234"/>
      <c r="K4" s="1234"/>
      <c r="L4" s="1234"/>
      <c r="M4" s="1234"/>
      <c r="O4" s="597"/>
      <c r="P4" s="600"/>
      <c r="Q4" s="1183" t="s">
        <v>593</v>
      </c>
      <c r="R4" s="1183"/>
      <c r="T4" s="1183" t="s">
        <v>594</v>
      </c>
      <c r="U4" s="1183"/>
      <c r="V4" s="1183"/>
      <c r="W4" s="1183"/>
      <c r="X4" s="1183"/>
      <c r="Y4" s="47" t="s">
        <v>60</v>
      </c>
      <c r="AA4" s="46" t="s">
        <v>43</v>
      </c>
    </row>
    <row r="5" spans="1:30" s="5" customFormat="1" ht="50">
      <c r="A5" s="592" t="s">
        <v>860</v>
      </c>
      <c r="B5" s="37" t="s">
        <v>859</v>
      </c>
      <c r="C5" s="593" t="s">
        <v>855</v>
      </c>
      <c r="D5" s="598" t="s">
        <v>857</v>
      </c>
      <c r="E5" s="61"/>
      <c r="F5" s="596" t="s">
        <v>856</v>
      </c>
      <c r="G5" s="595" t="s">
        <v>738</v>
      </c>
      <c r="H5" s="101" t="s">
        <v>107</v>
      </c>
      <c r="I5" s="592" t="s">
        <v>543</v>
      </c>
      <c r="J5" s="101" t="s">
        <v>706</v>
      </c>
      <c r="K5" s="592" t="s">
        <v>544</v>
      </c>
      <c r="L5" s="592" t="s">
        <v>706</v>
      </c>
      <c r="M5" s="555" t="s">
        <v>710</v>
      </c>
      <c r="N5" s="61"/>
      <c r="O5" s="596" t="s">
        <v>856</v>
      </c>
      <c r="P5" s="594" t="s">
        <v>595</v>
      </c>
      <c r="Q5" s="83" t="s">
        <v>706</v>
      </c>
      <c r="R5" s="592" t="s">
        <v>410</v>
      </c>
      <c r="S5" s="61"/>
      <c r="T5" s="590" t="s">
        <v>856</v>
      </c>
      <c r="U5" s="83" t="s">
        <v>706</v>
      </c>
      <c r="V5" s="592" t="s">
        <v>707</v>
      </c>
      <c r="W5" s="592" t="s">
        <v>706</v>
      </c>
      <c r="X5" s="592" t="s">
        <v>708</v>
      </c>
      <c r="Y5" s="998" t="s">
        <v>114</v>
      </c>
      <c r="Z5" s="61"/>
      <c r="AA5" s="998"/>
      <c r="AD5" s="5" t="s">
        <v>598</v>
      </c>
    </row>
    <row r="6" spans="1:30" ht="152.5" customHeight="1">
      <c r="A6" s="1272">
        <v>1</v>
      </c>
      <c r="B6" s="1269" t="s">
        <v>858</v>
      </c>
      <c r="C6" s="1255" t="s">
        <v>0</v>
      </c>
      <c r="D6" s="1252" t="s">
        <v>570</v>
      </c>
      <c r="E6" s="3"/>
      <c r="F6" s="520" t="s">
        <v>115</v>
      </c>
      <c r="G6" s="190">
        <f>H6+J6</f>
        <v>316.40000000000003</v>
      </c>
      <c r="H6" s="470">
        <v>16.600000000000001</v>
      </c>
      <c r="I6" s="1258" t="s">
        <v>1413</v>
      </c>
      <c r="J6" s="190">
        <f>226.1+73.7</f>
        <v>299.8</v>
      </c>
      <c r="K6" s="1184" t="s">
        <v>1414</v>
      </c>
      <c r="L6" s="513"/>
      <c r="M6" s="1187"/>
      <c r="N6" s="3"/>
      <c r="O6" s="520" t="s">
        <v>115</v>
      </c>
      <c r="P6" s="522">
        <f>Q6+U6</f>
        <v>35</v>
      </c>
      <c r="Q6" s="265">
        <v>15</v>
      </c>
      <c r="R6" s="1184" t="s">
        <v>1256</v>
      </c>
      <c r="S6" s="3"/>
      <c r="T6" s="520" t="s">
        <v>115</v>
      </c>
      <c r="U6" s="190">
        <v>20</v>
      </c>
      <c r="V6" s="1184" t="s">
        <v>1220</v>
      </c>
      <c r="W6" s="984"/>
      <c r="X6" s="984"/>
      <c r="Y6" s="1185" t="s">
        <v>62</v>
      </c>
      <c r="AA6" s="1239" t="s">
        <v>61</v>
      </c>
      <c r="AD6" s="33" t="str">
        <f>C6&amp;F6</f>
        <v>AustraliaLC bn</v>
      </c>
    </row>
    <row r="7" spans="1:30" ht="105" customHeight="1">
      <c r="A7" s="1269"/>
      <c r="B7" s="1269"/>
      <c r="C7" s="1273"/>
      <c r="D7" s="1277"/>
      <c r="E7" s="3"/>
      <c r="F7" s="520" t="s">
        <v>116</v>
      </c>
      <c r="G7" s="522" t="e">
        <f>G6/#REF!</f>
        <v>#REF!</v>
      </c>
      <c r="H7" s="470" t="e">
        <f>H6/#REF!</f>
        <v>#REF!</v>
      </c>
      <c r="I7" s="1238"/>
      <c r="J7" s="522" t="e">
        <f>J6/#REF!</f>
        <v>#REF!</v>
      </c>
      <c r="K7" s="1219"/>
      <c r="L7" s="992"/>
      <c r="M7" s="1300"/>
      <c r="N7" s="3"/>
      <c r="O7" s="520" t="s">
        <v>116</v>
      </c>
      <c r="P7" s="926" t="e">
        <f>P6/#REF!</f>
        <v>#REF!</v>
      </c>
      <c r="Q7" s="926" t="e">
        <f>Q6/#REF!</f>
        <v>#REF!</v>
      </c>
      <c r="R7" s="1219"/>
      <c r="S7" s="3"/>
      <c r="T7" s="520" t="s">
        <v>116</v>
      </c>
      <c r="U7" s="285" t="e">
        <f>P7-Q7</f>
        <v>#REF!</v>
      </c>
      <c r="V7" s="1219"/>
      <c r="W7" s="984"/>
      <c r="X7" s="984"/>
      <c r="Y7" s="1185"/>
      <c r="AA7" s="1239"/>
      <c r="AD7" s="33" t="str">
        <f>C6&amp;F7</f>
        <v>AustraliaUSD bn</v>
      </c>
    </row>
    <row r="8" spans="1:30" ht="248.5" customHeight="1">
      <c r="A8" s="1269"/>
      <c r="B8" s="1269"/>
      <c r="C8" s="1257"/>
      <c r="D8" s="1254"/>
      <c r="E8" s="52"/>
      <c r="F8" s="53" t="s">
        <v>117</v>
      </c>
      <c r="G8" s="17" t="e">
        <f>(G6/VLOOKUP(C6,#REF!,4,0))*100</f>
        <v>#REF!</v>
      </c>
      <c r="H8" s="17" t="e">
        <f>(H6/VLOOKUP(C6,#REF!,4,0))*100</f>
        <v>#REF!</v>
      </c>
      <c r="I8" s="1192"/>
      <c r="J8" s="17" t="e">
        <f>(J6/VLOOKUP($C6,#REF!,4,0))*100</f>
        <v>#REF!</v>
      </c>
      <c r="K8" s="1186"/>
      <c r="L8" s="975"/>
      <c r="M8" s="1189"/>
      <c r="N8" s="52"/>
      <c r="O8" s="53" t="s">
        <v>117</v>
      </c>
      <c r="P8" s="173" t="e">
        <f>(P6/VLOOKUP(C6,#REF!,4,0))*100</f>
        <v>#REF!</v>
      </c>
      <c r="Q8" s="267" t="e">
        <f>(Q6/VLOOKUP(C6,#REF!,4,0))*100</f>
        <v>#REF!</v>
      </c>
      <c r="R8" s="1186"/>
      <c r="S8" s="52"/>
      <c r="T8" s="53" t="s">
        <v>117</v>
      </c>
      <c r="U8" s="77" t="e">
        <f>(U6/VLOOKUP(C6,#REF!,4,0))*100</f>
        <v>#REF!</v>
      </c>
      <c r="V8" s="1186"/>
      <c r="W8" s="970"/>
      <c r="X8" s="970"/>
      <c r="Y8" s="1186"/>
      <c r="Z8" s="52"/>
      <c r="AA8" s="1240"/>
      <c r="AD8" s="33" t="str">
        <f>C6&amp;F8</f>
        <v>Australia% GDP</v>
      </c>
    </row>
    <row r="9" spans="1:30" ht="89.5" customHeight="1">
      <c r="A9" s="1269">
        <v>1</v>
      </c>
      <c r="B9" s="1269" t="s">
        <v>858</v>
      </c>
      <c r="C9" s="1255" t="s">
        <v>1</v>
      </c>
      <c r="D9" s="1277" t="s">
        <v>571</v>
      </c>
      <c r="E9" s="16"/>
      <c r="F9" s="38" t="s">
        <v>115</v>
      </c>
      <c r="G9" s="102">
        <f>H9+J9</f>
        <v>322.7</v>
      </c>
      <c r="H9" s="102">
        <v>52.7</v>
      </c>
      <c r="I9" s="1220" t="s">
        <v>1338</v>
      </c>
      <c r="J9" s="102">
        <v>270</v>
      </c>
      <c r="K9" s="1184" t="s">
        <v>1339</v>
      </c>
      <c r="L9" s="102">
        <v>85</v>
      </c>
      <c r="M9" s="1184" t="s">
        <v>823</v>
      </c>
      <c r="N9" s="16"/>
      <c r="O9" s="38" t="s">
        <v>115</v>
      </c>
      <c r="P9" s="496">
        <f t="shared" ref="P9:P20" si="0">Q9+U9+W9</f>
        <v>88.600000000000009</v>
      </c>
      <c r="Q9" s="268">
        <v>5.2</v>
      </c>
      <c r="R9" s="1184" t="s">
        <v>921</v>
      </c>
      <c r="S9" s="16"/>
      <c r="T9" s="38" t="s">
        <v>115</v>
      </c>
      <c r="U9" s="62">
        <v>83.4</v>
      </c>
      <c r="V9" s="1184" t="s">
        <v>1412</v>
      </c>
      <c r="W9" s="968"/>
      <c r="X9" s="968"/>
      <c r="Y9" s="968"/>
      <c r="Z9" s="15"/>
      <c r="AA9" s="988" t="s">
        <v>63</v>
      </c>
      <c r="AB9" s="1214" t="s">
        <v>213</v>
      </c>
      <c r="AD9" s="33" t="str">
        <f>C9&amp;F9</f>
        <v>CanadaLC bn</v>
      </c>
    </row>
    <row r="10" spans="1:30" ht="98.5" customHeight="1">
      <c r="A10" s="1269"/>
      <c r="B10" s="1269"/>
      <c r="C10" s="1273"/>
      <c r="D10" s="1277"/>
      <c r="E10" s="6"/>
      <c r="F10" s="520" t="s">
        <v>116</v>
      </c>
      <c r="G10" s="522" t="e">
        <f>G9/VLOOKUP(C9,#REF!,8,0)</f>
        <v>#REF!</v>
      </c>
      <c r="H10" s="522" t="e">
        <f>H9/VLOOKUP(C9,#REF!,8,0)</f>
        <v>#REF!</v>
      </c>
      <c r="I10" s="1287"/>
      <c r="J10" s="522" t="e">
        <f>J9/VLOOKUP($C9,#REF!,8,0)</f>
        <v>#REF!</v>
      </c>
      <c r="K10" s="1219"/>
      <c r="L10" s="522" t="e">
        <f>L9/VLOOKUP($C9,#REF!,8,0)</f>
        <v>#REF!</v>
      </c>
      <c r="M10" s="1219"/>
      <c r="N10" s="6"/>
      <c r="O10" s="520" t="s">
        <v>116</v>
      </c>
      <c r="P10" s="927" t="e">
        <f t="shared" si="0"/>
        <v>#REF!</v>
      </c>
      <c r="Q10" s="269" t="e">
        <f>Q9/VLOOKUP(C9,#REF!,8,0)</f>
        <v>#REF!</v>
      </c>
      <c r="R10" s="1219"/>
      <c r="S10" s="6"/>
      <c r="T10" s="520" t="s">
        <v>116</v>
      </c>
      <c r="U10" s="522" t="e">
        <f>U9/VLOOKUP(C9,#REF!,8,0)</f>
        <v>#REF!</v>
      </c>
      <c r="V10" s="1219"/>
      <c r="W10" s="984"/>
      <c r="X10" s="984"/>
      <c r="Y10" s="969"/>
      <c r="AA10" s="989"/>
      <c r="AB10" s="1215"/>
      <c r="AD10" s="33" t="str">
        <f>C9&amp;F10</f>
        <v>CanadaUSD bn</v>
      </c>
    </row>
    <row r="11" spans="1:30" ht="91.5" customHeight="1">
      <c r="A11" s="1269"/>
      <c r="B11" s="1269"/>
      <c r="C11" s="1257"/>
      <c r="D11" s="1254"/>
      <c r="E11" s="12"/>
      <c r="F11" s="53" t="s">
        <v>117</v>
      </c>
      <c r="G11" s="17" t="e">
        <f>(G9/VLOOKUP(C9,#REF!,4,0))*100</f>
        <v>#REF!</v>
      </c>
      <c r="H11" s="17" t="e">
        <f>(H9/VLOOKUP(C9,#REF!,4,0))*100</f>
        <v>#REF!</v>
      </c>
      <c r="I11" s="1222"/>
      <c r="J11" s="17" t="e">
        <f>(J9/VLOOKUP($C9,#REF!,4,0))*100</f>
        <v>#REF!</v>
      </c>
      <c r="K11" s="1186"/>
      <c r="L11" s="17" t="e">
        <f>(L9/VLOOKUP($C9,#REF!,4,0))*100</f>
        <v>#REF!</v>
      </c>
      <c r="M11" s="1186"/>
      <c r="N11" s="12"/>
      <c r="O11" s="53" t="s">
        <v>117</v>
      </c>
      <c r="P11" s="499" t="e">
        <f t="shared" si="0"/>
        <v>#REF!</v>
      </c>
      <c r="Q11" s="267" t="e">
        <f>(Q9/VLOOKUP(C9,#REF!,4,0))*100</f>
        <v>#REF!</v>
      </c>
      <c r="R11" s="1186"/>
      <c r="S11" s="12"/>
      <c r="T11" s="53" t="s">
        <v>117</v>
      </c>
      <c r="U11" s="17" t="e">
        <f>(U9/VLOOKUP(C9,#REF!,4,0))*100</f>
        <v>#REF!</v>
      </c>
      <c r="V11" s="1186"/>
      <c r="W11" s="970"/>
      <c r="X11" s="970"/>
      <c r="Y11" s="970"/>
      <c r="Z11" s="52"/>
      <c r="AA11" s="990"/>
      <c r="AB11" s="1215"/>
      <c r="AD11" s="33" t="str">
        <f>C9&amp;F11</f>
        <v>Canada% GDP</v>
      </c>
    </row>
    <row r="12" spans="1:30" ht="169.5" customHeight="1">
      <c r="A12" s="1268" t="s">
        <v>84</v>
      </c>
      <c r="B12" s="1268" t="s">
        <v>84</v>
      </c>
      <c r="C12" s="1255" t="s">
        <v>430</v>
      </c>
      <c r="D12" s="1253"/>
      <c r="E12" s="16"/>
      <c r="F12" s="175" t="s">
        <v>115</v>
      </c>
      <c r="G12" s="253">
        <v>427.85</v>
      </c>
      <c r="H12" s="62">
        <v>0.05</v>
      </c>
      <c r="I12" s="1220" t="s">
        <v>1257</v>
      </c>
      <c r="J12" s="102">
        <v>427.8</v>
      </c>
      <c r="K12" s="1184" t="s">
        <v>1426</v>
      </c>
      <c r="L12" s="968"/>
      <c r="M12" s="968"/>
      <c r="N12" s="16"/>
      <c r="O12" s="175" t="s">
        <v>115</v>
      </c>
      <c r="P12" s="496">
        <f t="shared" si="0"/>
        <v>765</v>
      </c>
      <c r="Q12" s="270">
        <v>700</v>
      </c>
      <c r="R12" s="1190" t="s">
        <v>1452</v>
      </c>
      <c r="S12" s="16"/>
      <c r="T12" s="175" t="s">
        <v>115</v>
      </c>
      <c r="U12" s="253">
        <v>65</v>
      </c>
      <c r="V12" s="1193" t="s">
        <v>1427</v>
      </c>
      <c r="W12" s="976"/>
      <c r="X12" s="976"/>
      <c r="Y12" s="1184" t="s">
        <v>74</v>
      </c>
      <c r="Z12" s="15"/>
      <c r="AA12" s="22"/>
      <c r="AD12" s="33" t="str">
        <f>C12&amp;F12</f>
        <v>European UnionLC bn</v>
      </c>
    </row>
    <row r="13" spans="1:30" ht="138" customHeight="1">
      <c r="A13" s="1268"/>
      <c r="B13" s="1268"/>
      <c r="C13" s="1256"/>
      <c r="D13" s="1253"/>
      <c r="E13" s="35"/>
      <c r="F13" s="175" t="s">
        <v>116</v>
      </c>
      <c r="G13" s="251" t="e">
        <f>G12/VLOOKUP(C12,#REF!,8,0)</f>
        <v>#REF!</v>
      </c>
      <c r="H13" s="258" t="e">
        <f>H12/VLOOKUP($C12,#REF!,8,0)</f>
        <v>#REF!</v>
      </c>
      <c r="I13" s="1221"/>
      <c r="J13" s="251" t="e">
        <f>J12/VLOOKUP($C12,#REF!,8,0)</f>
        <v>#REF!</v>
      </c>
      <c r="K13" s="1185"/>
      <c r="L13" s="969"/>
      <c r="M13" s="969"/>
      <c r="N13" s="35"/>
      <c r="O13" s="175" t="s">
        <v>116</v>
      </c>
      <c r="P13" s="497" t="e">
        <f t="shared" si="0"/>
        <v>#REF!</v>
      </c>
      <c r="Q13" s="266" t="e">
        <f>Q12/VLOOKUP(C12,#REF!,8,0)</f>
        <v>#REF!</v>
      </c>
      <c r="R13" s="1191"/>
      <c r="S13" s="35"/>
      <c r="T13" s="175" t="s">
        <v>116</v>
      </c>
      <c r="U13" s="251" t="e">
        <f>U12/VLOOKUP(C12,#REF!,8,0)</f>
        <v>#REF!</v>
      </c>
      <c r="V13" s="1196"/>
      <c r="W13" s="977"/>
      <c r="X13" s="977"/>
      <c r="Y13" s="1185"/>
      <c r="AA13" s="989"/>
      <c r="AD13" s="33" t="str">
        <f>C12&amp;F13</f>
        <v>European UnionUSD bn</v>
      </c>
    </row>
    <row r="14" spans="1:30" ht="138.75" customHeight="1">
      <c r="A14" s="1268"/>
      <c r="B14" s="1268"/>
      <c r="C14" s="1257"/>
      <c r="D14" s="1254"/>
      <c r="E14" s="12"/>
      <c r="F14" s="53" t="s">
        <v>117</v>
      </c>
      <c r="G14" s="252" t="e">
        <f>(G12/VLOOKUP(C12,#REF!,4,0))*100</f>
        <v>#REF!</v>
      </c>
      <c r="H14" s="252" t="e">
        <f>(H12/VLOOKUP($C12,#REF!,4,0))*100</f>
        <v>#REF!</v>
      </c>
      <c r="I14" s="1222"/>
      <c r="J14" s="252" t="e">
        <f>(J12/VLOOKUP($C12,#REF!,4,0))*100</f>
        <v>#REF!</v>
      </c>
      <c r="K14" s="1186"/>
      <c r="L14" s="970"/>
      <c r="M14" s="970"/>
      <c r="N14" s="12"/>
      <c r="O14" s="53" t="s">
        <v>117</v>
      </c>
      <c r="P14" s="499" t="e">
        <f t="shared" si="0"/>
        <v>#REF!</v>
      </c>
      <c r="Q14" s="267" t="e">
        <f>(Q12/VLOOKUP(C12,#REF!,4,0))*100</f>
        <v>#REF!</v>
      </c>
      <c r="R14" s="1192"/>
      <c r="S14" s="12"/>
      <c r="T14" s="53" t="s">
        <v>117</v>
      </c>
      <c r="U14" s="252" t="e">
        <f>(U12/VLOOKUP(C12,#REF!,4,0))*100</f>
        <v>#REF!</v>
      </c>
      <c r="V14" s="1197"/>
      <c r="W14" s="978"/>
      <c r="X14" s="978"/>
      <c r="Y14" s="1186"/>
      <c r="Z14" s="52"/>
      <c r="AA14" s="990"/>
      <c r="AD14" s="33" t="str">
        <f>C12&amp;F14</f>
        <v>European Union% GDP</v>
      </c>
    </row>
    <row r="15" spans="1:30" ht="132.65" customHeight="1">
      <c r="A15" s="1268">
        <v>1</v>
      </c>
      <c r="B15" s="1268" t="s">
        <v>858</v>
      </c>
      <c r="C15" s="1256" t="s">
        <v>2</v>
      </c>
      <c r="D15" s="1253" t="s">
        <v>570</v>
      </c>
      <c r="E15" s="16"/>
      <c r="F15" s="175" t="s">
        <v>115</v>
      </c>
      <c r="G15" s="253">
        <f>H15+J15</f>
        <v>174</v>
      </c>
      <c r="H15" s="102">
        <v>17.8</v>
      </c>
      <c r="I15" s="1184" t="s">
        <v>1420</v>
      </c>
      <c r="J15" s="177">
        <f>126.5+29.7</f>
        <v>156.19999999999999</v>
      </c>
      <c r="K15" s="1190" t="s">
        <v>1421</v>
      </c>
      <c r="L15" s="177">
        <f>17+38</f>
        <v>55</v>
      </c>
      <c r="M15" s="1190" t="s">
        <v>1422</v>
      </c>
      <c r="N15" s="16"/>
      <c r="O15" s="175" t="s">
        <v>115</v>
      </c>
      <c r="P15" s="496">
        <f t="shared" si="0"/>
        <v>355.5</v>
      </c>
      <c r="Q15" s="270">
        <v>21</v>
      </c>
      <c r="R15" s="1184" t="s">
        <v>1423</v>
      </c>
      <c r="S15" s="16"/>
      <c r="T15" s="175" t="s">
        <v>115</v>
      </c>
      <c r="U15" s="253">
        <v>334.5</v>
      </c>
      <c r="V15" s="1184" t="s">
        <v>1323</v>
      </c>
      <c r="W15" s="968"/>
      <c r="X15" s="968"/>
      <c r="Y15" s="968" t="s">
        <v>214</v>
      </c>
      <c r="Z15" s="15"/>
      <c r="AA15" s="988" t="s">
        <v>64</v>
      </c>
      <c r="AD15" s="33" t="str">
        <f>C15&amp;F15</f>
        <v>FranceLC bn</v>
      </c>
    </row>
    <row r="16" spans="1:30" ht="105.65" customHeight="1">
      <c r="A16" s="1268"/>
      <c r="B16" s="1268"/>
      <c r="C16" s="1256"/>
      <c r="D16" s="1253"/>
      <c r="E16" s="35"/>
      <c r="F16" s="175" t="s">
        <v>116</v>
      </c>
      <c r="G16" s="251" t="e">
        <f>G15/VLOOKUP(C15,#REF!,8,0)</f>
        <v>#REF!</v>
      </c>
      <c r="H16" s="103" t="e">
        <f>H15/VLOOKUP(C15,#REF!,8,0)</f>
        <v>#REF!</v>
      </c>
      <c r="I16" s="1185"/>
      <c r="J16" s="251" t="e">
        <f>J15/VLOOKUP($C15,#REF!,8,0)</f>
        <v>#REF!</v>
      </c>
      <c r="K16" s="1191"/>
      <c r="L16" s="251" t="e">
        <f>L15/VLOOKUP($C15,#REF!,8,0)</f>
        <v>#REF!</v>
      </c>
      <c r="M16" s="1191"/>
      <c r="N16" s="35"/>
      <c r="O16" s="175" t="s">
        <v>116</v>
      </c>
      <c r="P16" s="497" t="e">
        <f t="shared" si="0"/>
        <v>#REF!</v>
      </c>
      <c r="Q16" s="266" t="e">
        <f>Q15/VLOOKUP(C15,#REF!,8,0)</f>
        <v>#REF!</v>
      </c>
      <c r="R16" s="1185"/>
      <c r="S16" s="35"/>
      <c r="T16" s="175" t="s">
        <v>116</v>
      </c>
      <c r="U16" s="251" t="e">
        <f>U15/VLOOKUP(C15,#REF!,8,0)</f>
        <v>#REF!</v>
      </c>
      <c r="V16" s="1185"/>
      <c r="W16" s="969"/>
      <c r="X16" s="969"/>
      <c r="Y16" s="969"/>
      <c r="AA16" s="989"/>
      <c r="AD16" s="33" t="str">
        <f>C15&amp;F16</f>
        <v>FranceUSD bn</v>
      </c>
    </row>
    <row r="17" spans="1:30" s="2" customFormat="1" ht="171" customHeight="1">
      <c r="A17" s="1268"/>
      <c r="B17" s="1268"/>
      <c r="C17" s="1257"/>
      <c r="D17" s="1254"/>
      <c r="E17" s="12"/>
      <c r="F17" s="53" t="s">
        <v>117</v>
      </c>
      <c r="G17" s="252" t="e">
        <f>(G15/VLOOKUP(C15,#REF!,4,0))*100</f>
        <v>#REF!</v>
      </c>
      <c r="H17" s="17" t="e">
        <f>(H15/VLOOKUP(C15,#REF!,4,0))*100</f>
        <v>#REF!</v>
      </c>
      <c r="I17" s="1186"/>
      <c r="J17" s="252" t="e">
        <f>(J15/VLOOKUP($C15,#REF!,4,0))*100</f>
        <v>#REF!</v>
      </c>
      <c r="K17" s="1192"/>
      <c r="L17" s="252" t="e">
        <f>(L15/VLOOKUP($C15,#REF!,4,0))*100</f>
        <v>#REF!</v>
      </c>
      <c r="M17" s="1192"/>
      <c r="N17" s="12"/>
      <c r="O17" s="53" t="s">
        <v>117</v>
      </c>
      <c r="P17" s="499" t="e">
        <f t="shared" si="0"/>
        <v>#REF!</v>
      </c>
      <c r="Q17" s="267" t="e">
        <f>(Q15/VLOOKUP(C15,#REF!,4,0))*100</f>
        <v>#REF!</v>
      </c>
      <c r="R17" s="1186"/>
      <c r="S17" s="12"/>
      <c r="T17" s="53" t="s">
        <v>117</v>
      </c>
      <c r="U17" s="252" t="e">
        <f>(U15/VLOOKUP(C15,#REF!,4,0))*100</f>
        <v>#REF!</v>
      </c>
      <c r="V17" s="1186"/>
      <c r="W17" s="970"/>
      <c r="X17" s="970"/>
      <c r="Y17" s="970"/>
      <c r="Z17" s="52"/>
      <c r="AA17" s="990"/>
      <c r="AD17" s="33" t="str">
        <f>C15&amp;F17</f>
        <v>France% GDP</v>
      </c>
    </row>
    <row r="18" spans="1:30" s="229" customFormat="1" ht="52.5" customHeight="1">
      <c r="A18" s="1268">
        <v>1</v>
      </c>
      <c r="B18" s="1268" t="s">
        <v>858</v>
      </c>
      <c r="C18" s="1256" t="s">
        <v>3</v>
      </c>
      <c r="D18" s="1275" t="s">
        <v>570</v>
      </c>
      <c r="E18" s="16"/>
      <c r="F18" s="38" t="s">
        <v>115</v>
      </c>
      <c r="G18" s="253">
        <v>367</v>
      </c>
      <c r="H18" s="102">
        <v>40</v>
      </c>
      <c r="I18" s="1233" t="s">
        <v>1424</v>
      </c>
      <c r="J18" s="102">
        <f>G18-H18</f>
        <v>327</v>
      </c>
      <c r="K18" s="1193" t="s">
        <v>1425</v>
      </c>
      <c r="L18" s="979"/>
      <c r="M18" s="1184" t="s">
        <v>357</v>
      </c>
      <c r="N18" s="16"/>
      <c r="O18" s="38" t="s">
        <v>115</v>
      </c>
      <c r="P18" s="187">
        <f t="shared" si="0"/>
        <v>926.3</v>
      </c>
      <c r="Q18" s="270">
        <v>100</v>
      </c>
      <c r="R18" s="1184" t="s">
        <v>289</v>
      </c>
      <c r="S18" s="16"/>
      <c r="T18" s="38" t="s">
        <v>115</v>
      </c>
      <c r="U18" s="253">
        <f>400+357+69.3</f>
        <v>826.3</v>
      </c>
      <c r="V18" s="1184" t="s">
        <v>1346</v>
      </c>
      <c r="W18" s="968"/>
      <c r="X18" s="968"/>
      <c r="Y18" s="1184" t="s">
        <v>65</v>
      </c>
      <c r="Z18" s="15"/>
      <c r="AA18" s="1225" t="s">
        <v>67</v>
      </c>
      <c r="AD18" s="33" t="str">
        <f>C18&amp;F18</f>
        <v>GermanyLC bn</v>
      </c>
    </row>
    <row r="19" spans="1:30" ht="54.65" customHeight="1">
      <c r="A19" s="1268"/>
      <c r="B19" s="1268"/>
      <c r="C19" s="1256"/>
      <c r="D19" s="1275"/>
      <c r="E19" s="35"/>
      <c r="F19" s="175" t="s">
        <v>116</v>
      </c>
      <c r="G19" s="251" t="e">
        <f>G18/VLOOKUP(C18,#REF!,8,0)</f>
        <v>#REF!</v>
      </c>
      <c r="H19" s="103" t="e">
        <f>H18/VLOOKUP(C18,#REF!,8,0)</f>
        <v>#REF!</v>
      </c>
      <c r="I19" s="1247"/>
      <c r="J19" s="251" t="e">
        <f>J18/VLOOKUP($C18,#REF!,8,0)</f>
        <v>#REF!</v>
      </c>
      <c r="K19" s="1216"/>
      <c r="L19" s="410"/>
      <c r="M19" s="1185"/>
      <c r="N19" s="35"/>
      <c r="O19" s="175" t="s">
        <v>116</v>
      </c>
      <c r="P19" s="256" t="e">
        <f t="shared" si="0"/>
        <v>#REF!</v>
      </c>
      <c r="Q19" s="266" t="e">
        <f>Q18/VLOOKUP(C18,#REF!,8,0)</f>
        <v>#REF!</v>
      </c>
      <c r="R19" s="1185"/>
      <c r="S19" s="35"/>
      <c r="T19" s="175" t="s">
        <v>116</v>
      </c>
      <c r="U19" s="251" t="e">
        <f>U18/VLOOKUP(C18,#REF!,8,0)</f>
        <v>#REF!</v>
      </c>
      <c r="V19" s="1185"/>
      <c r="W19" s="969"/>
      <c r="X19" s="969"/>
      <c r="Y19" s="1185"/>
      <c r="AA19" s="1226"/>
      <c r="AD19" s="33" t="str">
        <f>C18&amp;F19</f>
        <v>GermanyUSD bn</v>
      </c>
    </row>
    <row r="20" spans="1:30" ht="85.5" customHeight="1">
      <c r="A20" s="1268"/>
      <c r="B20" s="1268"/>
      <c r="C20" s="1257"/>
      <c r="D20" s="1276"/>
      <c r="E20" s="12"/>
      <c r="F20" s="53" t="s">
        <v>117</v>
      </c>
      <c r="G20" s="252" t="e">
        <f>(G18/VLOOKUP(C18,#REF!,4,0))*100</f>
        <v>#REF!</v>
      </c>
      <c r="H20" s="17" t="e">
        <f>(H18/VLOOKUP(C18,#REF!,4,0))*100</f>
        <v>#REF!</v>
      </c>
      <c r="I20" s="1248"/>
      <c r="J20" s="252" t="e">
        <f>(J18/VLOOKUP($C18,#REF!,4,0))*100</f>
        <v>#REF!</v>
      </c>
      <c r="K20" s="1197"/>
      <c r="L20" s="411"/>
      <c r="M20" s="1186"/>
      <c r="N20" s="12"/>
      <c r="O20" s="53" t="s">
        <v>117</v>
      </c>
      <c r="P20" s="499" t="e">
        <f t="shared" si="0"/>
        <v>#REF!</v>
      </c>
      <c r="Q20" s="267" t="e">
        <f>(Q18/VLOOKUP(C18,#REF!,4,0))*100</f>
        <v>#REF!</v>
      </c>
      <c r="R20" s="1186"/>
      <c r="S20" s="12"/>
      <c r="T20" s="53" t="s">
        <v>117</v>
      </c>
      <c r="U20" s="252" t="e">
        <f>(U18/VLOOKUP(C18,#REF!,4,0))*100</f>
        <v>#REF!</v>
      </c>
      <c r="V20" s="1186"/>
      <c r="W20" s="970"/>
      <c r="X20" s="970"/>
      <c r="Y20" s="1186"/>
      <c r="Z20" s="52"/>
      <c r="AA20" s="1227"/>
      <c r="AD20" s="33" t="str">
        <f>C18&amp;F20</f>
        <v>Germany% GDP</v>
      </c>
    </row>
    <row r="21" spans="1:30" ht="30.5">
      <c r="A21" s="1268">
        <v>1</v>
      </c>
      <c r="B21" s="1268" t="s">
        <v>858</v>
      </c>
      <c r="C21" s="1256" t="s">
        <v>4</v>
      </c>
      <c r="D21" s="1253" t="s">
        <v>570</v>
      </c>
      <c r="E21" s="16"/>
      <c r="F21" s="175" t="s">
        <v>115</v>
      </c>
      <c r="G21" s="253">
        <f>H21+J21</f>
        <v>112</v>
      </c>
      <c r="H21" s="62">
        <f>9+0.5</f>
        <v>9.5</v>
      </c>
      <c r="I21" s="1220" t="s">
        <v>1429</v>
      </c>
      <c r="J21" s="102">
        <f>93.5+9</f>
        <v>102.5</v>
      </c>
      <c r="K21" s="1190" t="s">
        <v>1430</v>
      </c>
      <c r="L21" s="62">
        <v>7</v>
      </c>
      <c r="M21" s="1190" t="s">
        <v>1326</v>
      </c>
      <c r="N21" s="16"/>
      <c r="O21" s="175" t="s">
        <v>115</v>
      </c>
      <c r="P21" s="102">
        <f>Q21+U21</f>
        <v>582.25</v>
      </c>
      <c r="Q21" s="268">
        <v>3.25</v>
      </c>
      <c r="R21" s="1190" t="s">
        <v>604</v>
      </c>
      <c r="S21" s="16"/>
      <c r="T21" s="175" t="s">
        <v>115</v>
      </c>
      <c r="U21" s="253">
        <v>579</v>
      </c>
      <c r="V21" s="1190" t="s">
        <v>1327</v>
      </c>
      <c r="W21" s="973"/>
      <c r="X21" s="1190"/>
      <c r="Y21" s="1184" t="s">
        <v>216</v>
      </c>
      <c r="Z21" s="15"/>
      <c r="AA21" s="988" t="s">
        <v>66</v>
      </c>
      <c r="AD21" s="33" t="str">
        <f>C21&amp;F21</f>
        <v>ItalyLC bn</v>
      </c>
    </row>
    <row r="22" spans="1:30" ht="38">
      <c r="A22" s="1268"/>
      <c r="B22" s="1268"/>
      <c r="C22" s="1256"/>
      <c r="D22" s="1253"/>
      <c r="E22" s="35"/>
      <c r="F22" s="175" t="s">
        <v>116</v>
      </c>
      <c r="G22" s="251" t="e">
        <f>G21/VLOOKUP(C21,#REF!,8,0)</f>
        <v>#REF!</v>
      </c>
      <c r="H22" s="82" t="e">
        <f>H21/VLOOKUP(C21,#REF!,8,0)</f>
        <v>#REF!</v>
      </c>
      <c r="I22" s="1287"/>
      <c r="J22" s="251" t="e">
        <f>J21/VLOOKUP($C21,#REF!,8,0)</f>
        <v>#REF!</v>
      </c>
      <c r="K22" s="1191"/>
      <c r="L22" s="258" t="e">
        <f>L21/VLOOKUP($C21,#REF!,8,0)</f>
        <v>#REF!</v>
      </c>
      <c r="M22" s="1238"/>
      <c r="N22" s="35"/>
      <c r="O22" s="175" t="s">
        <v>116</v>
      </c>
      <c r="P22" s="251" t="e">
        <f>P21/VLOOKUP($C21,#REF!,8,0)</f>
        <v>#REF!</v>
      </c>
      <c r="Q22" s="258" t="e">
        <f>Q21/VLOOKUP($C21,#REF!,8,0)</f>
        <v>#REF!</v>
      </c>
      <c r="R22" s="1238"/>
      <c r="S22" s="35"/>
      <c r="T22" s="175" t="s">
        <v>116</v>
      </c>
      <c r="U22" s="251" t="e">
        <f>U21/VLOOKUP(C21,#REF!,8,0)</f>
        <v>#REF!</v>
      </c>
      <c r="V22" s="1191"/>
      <c r="W22" s="251"/>
      <c r="X22" s="1191"/>
      <c r="Y22" s="1185"/>
      <c r="AA22" s="197" t="s">
        <v>186</v>
      </c>
      <c r="AD22" s="33" t="str">
        <f>C21&amp;F22</f>
        <v>ItalyUSD bn</v>
      </c>
    </row>
    <row r="23" spans="1:30" ht="63.75" customHeight="1">
      <c r="A23" s="1268"/>
      <c r="B23" s="1268"/>
      <c r="C23" s="1257"/>
      <c r="D23" s="1254"/>
      <c r="E23" s="12"/>
      <c r="F23" s="53" t="s">
        <v>117</v>
      </c>
      <c r="G23" s="252" t="e">
        <f>(G21/VLOOKUP(C21,#REF!,4,0))*100</f>
        <v>#REF!</v>
      </c>
      <c r="H23" s="17" t="e">
        <f>(H21/VLOOKUP(C21,#REF!,4,0))*100</f>
        <v>#REF!</v>
      </c>
      <c r="I23" s="1222"/>
      <c r="J23" s="252" t="e">
        <f>(J21/VLOOKUP($C21,#REF!,4,0))*100</f>
        <v>#REF!</v>
      </c>
      <c r="K23" s="1192"/>
      <c r="L23" s="252" t="e">
        <f>(L21/VLOOKUP($C21,#REF!,4,0))*100</f>
        <v>#REF!</v>
      </c>
      <c r="M23" s="1192"/>
      <c r="N23" s="12"/>
      <c r="O23" s="53" t="s">
        <v>117</v>
      </c>
      <c r="P23" s="252" t="e">
        <f>(P21/VLOOKUP($C21,#REF!,4,0))*100</f>
        <v>#REF!</v>
      </c>
      <c r="Q23" s="252" t="e">
        <f>(Q21/VLOOKUP($C21,#REF!,4,0))*100</f>
        <v>#REF!</v>
      </c>
      <c r="R23" s="1192"/>
      <c r="S23" s="12"/>
      <c r="T23" s="53" t="s">
        <v>117</v>
      </c>
      <c r="U23" s="252" t="e">
        <f>(U21/VLOOKUP(C21,#REF!,4,0))*100</f>
        <v>#REF!</v>
      </c>
      <c r="V23" s="1192"/>
      <c r="W23" s="892"/>
      <c r="X23" s="1192"/>
      <c r="Y23" s="1186"/>
      <c r="Z23" s="52"/>
      <c r="AA23" s="990"/>
      <c r="AD23" s="33" t="str">
        <f>C21&amp;F23</f>
        <v>Italy% GDP</v>
      </c>
    </row>
    <row r="24" spans="1:30" ht="130.5" customHeight="1">
      <c r="A24" s="1268">
        <v>1</v>
      </c>
      <c r="B24" s="1268" t="s">
        <v>858</v>
      </c>
      <c r="C24" s="1301" t="s">
        <v>5</v>
      </c>
      <c r="D24" s="1277" t="s">
        <v>570</v>
      </c>
      <c r="E24" s="16"/>
      <c r="F24" s="520" t="s">
        <v>115</v>
      </c>
      <c r="G24" s="187">
        <f>H24+J24</f>
        <v>84100</v>
      </c>
      <c r="H24" s="187">
        <v>9300</v>
      </c>
      <c r="I24" s="1184" t="s">
        <v>1456</v>
      </c>
      <c r="J24" s="187">
        <v>74800</v>
      </c>
      <c r="K24" s="1270" t="s">
        <v>1455</v>
      </c>
      <c r="L24" s="187">
        <v>26000</v>
      </c>
      <c r="M24" s="1184" t="s">
        <v>546</v>
      </c>
      <c r="N24" s="16"/>
      <c r="O24" s="38" t="s">
        <v>115</v>
      </c>
      <c r="P24" s="965">
        <f>Q24+U24+W24</f>
        <v>158600</v>
      </c>
      <c r="Q24" s="521"/>
      <c r="R24" s="1305"/>
      <c r="S24" s="16"/>
      <c r="T24" s="38" t="s">
        <v>115</v>
      </c>
      <c r="U24" s="187">
        <v>15700</v>
      </c>
      <c r="V24" s="1305" t="s">
        <v>829</v>
      </c>
      <c r="W24" s="416">
        <v>142900</v>
      </c>
      <c r="X24" s="1289" t="s">
        <v>1454</v>
      </c>
      <c r="Y24" s="1184" t="s">
        <v>298</v>
      </c>
      <c r="Z24" s="15"/>
      <c r="AA24" s="22"/>
      <c r="AD24" s="33" t="str">
        <f>C24&amp;F24</f>
        <v>JapanLC bn</v>
      </c>
    </row>
    <row r="25" spans="1:30" ht="243.75" customHeight="1">
      <c r="A25" s="1268"/>
      <c r="B25" s="1268"/>
      <c r="C25" s="1301"/>
      <c r="D25" s="1277"/>
      <c r="E25" s="6"/>
      <c r="F25" s="520" t="s">
        <v>116</v>
      </c>
      <c r="G25" s="251" t="e">
        <f>G24/VLOOKUP(C24,#REF!,8,0)</f>
        <v>#REF!</v>
      </c>
      <c r="H25" s="82" t="e">
        <f>H24/VLOOKUP(C24,#REF!,8,0)</f>
        <v>#REF!</v>
      </c>
      <c r="I25" s="1306"/>
      <c r="J25" s="251" t="e">
        <f>J24/VLOOKUP($C24,#REF!,8,0)</f>
        <v>#REF!</v>
      </c>
      <c r="K25" s="1219"/>
      <c r="L25" s="251" t="e">
        <f>L24/VLOOKUP($C24,#REF!,8,0)</f>
        <v>#REF!</v>
      </c>
      <c r="M25" s="1219"/>
      <c r="N25" s="6"/>
      <c r="O25" s="520" t="s">
        <v>116</v>
      </c>
      <c r="P25" s="251" t="e">
        <f>P24/VLOOKUP($C24,#REF!,8,0)</f>
        <v>#REF!</v>
      </c>
      <c r="Q25" s="523"/>
      <c r="R25" s="1306"/>
      <c r="S25" s="6"/>
      <c r="T25" s="520" t="s">
        <v>116</v>
      </c>
      <c r="U25" s="251" t="e">
        <f>U24/VLOOKUP(C24,#REF!,8,0)</f>
        <v>#REF!</v>
      </c>
      <c r="V25" s="1306"/>
      <c r="W25" s="659" t="e">
        <f>W24/VLOOKUP(C24,#REF!,8,0)</f>
        <v>#REF!</v>
      </c>
      <c r="X25" s="1315"/>
      <c r="Y25" s="1185"/>
      <c r="AA25" s="989"/>
      <c r="AD25" s="33" t="str">
        <f>C24&amp;F25</f>
        <v>JapanUSD bn</v>
      </c>
    </row>
    <row r="26" spans="1:30" s="2" customFormat="1" ht="309.75" customHeight="1">
      <c r="A26" s="1268"/>
      <c r="B26" s="1268"/>
      <c r="C26" s="1299"/>
      <c r="D26" s="1254"/>
      <c r="E26" s="12"/>
      <c r="F26" s="53" t="s">
        <v>117</v>
      </c>
      <c r="G26" s="252" t="e">
        <f>(G24/VLOOKUP(C24,#REF!,4,0))*100</f>
        <v>#REF!</v>
      </c>
      <c r="H26" s="17" t="e">
        <f>(H24/VLOOKUP(C24,#REF!,4,0))*100</f>
        <v>#REF!</v>
      </c>
      <c r="I26" s="1307"/>
      <c r="J26" s="252" t="e">
        <f>(J24/VLOOKUP($C24,#REF!,4,0))*100</f>
        <v>#REF!</v>
      </c>
      <c r="K26" s="1186"/>
      <c r="L26" s="252" t="e">
        <f>(L24/VLOOKUP($C24,#REF!,4,0))*100</f>
        <v>#REF!</v>
      </c>
      <c r="M26" s="1186"/>
      <c r="N26" s="12"/>
      <c r="O26" s="53" t="s">
        <v>117</v>
      </c>
      <c r="P26" s="252" t="e">
        <f>(P24/VLOOKUP($C24,#REF!,4,0))*100</f>
        <v>#REF!</v>
      </c>
      <c r="Q26" s="524"/>
      <c r="R26" s="1307"/>
      <c r="S26" s="12"/>
      <c r="T26" s="53" t="s">
        <v>117</v>
      </c>
      <c r="U26" s="252" t="e">
        <f>(U24/VLOOKUP(C24,#REF!,4,0))*100</f>
        <v>#REF!</v>
      </c>
      <c r="V26" s="1307"/>
      <c r="W26" s="660" t="e">
        <f>(W24/VLOOKUP(C24,#REF!,4,0))*100</f>
        <v>#REF!</v>
      </c>
      <c r="X26" s="1316"/>
      <c r="Y26" s="1186"/>
      <c r="Z26" s="52"/>
      <c r="AA26" s="990"/>
      <c r="AD26" s="33" t="str">
        <f>C24&amp;F26</f>
        <v>Japan% GDP</v>
      </c>
    </row>
    <row r="27" spans="1:30" s="229" customFormat="1" ht="153" customHeight="1">
      <c r="A27" s="1268">
        <v>1</v>
      </c>
      <c r="B27" s="1268" t="s">
        <v>858</v>
      </c>
      <c r="C27" s="1303" t="s">
        <v>6</v>
      </c>
      <c r="D27" s="1252" t="s">
        <v>570</v>
      </c>
      <c r="E27" s="16"/>
      <c r="F27" s="38" t="s">
        <v>115</v>
      </c>
      <c r="G27" s="189">
        <f>H27+J27</f>
        <v>66300</v>
      </c>
      <c r="H27" s="550">
        <v>5100</v>
      </c>
      <c r="I27" s="1278" t="s">
        <v>1321</v>
      </c>
      <c r="J27" s="189">
        <f>57800+3400</f>
        <v>61200</v>
      </c>
      <c r="K27" s="1190" t="s">
        <v>1322</v>
      </c>
      <c r="L27" s="189">
        <f>3300+29700</f>
        <v>33000</v>
      </c>
      <c r="M27" s="1190" t="s">
        <v>893</v>
      </c>
      <c r="N27" s="16"/>
      <c r="O27" s="38" t="s">
        <v>115</v>
      </c>
      <c r="P27" s="416">
        <f>Q27+U27+W27</f>
        <v>195900</v>
      </c>
      <c r="Q27" s="416"/>
      <c r="R27" s="1193"/>
      <c r="S27" s="16"/>
      <c r="T27" s="38" t="s">
        <v>115</v>
      </c>
      <c r="U27" s="417">
        <v>70900</v>
      </c>
      <c r="V27" s="1190" t="s">
        <v>1311</v>
      </c>
      <c r="W27" s="417">
        <v>125000</v>
      </c>
      <c r="X27" s="1305" t="s">
        <v>1453</v>
      </c>
      <c r="Y27" s="1184" t="s">
        <v>70</v>
      </c>
      <c r="Z27" s="15"/>
      <c r="AA27" s="1225" t="s">
        <v>69</v>
      </c>
      <c r="AD27" s="33" t="str">
        <f>C27&amp;F27</f>
        <v>KoreaLC bn</v>
      </c>
    </row>
    <row r="28" spans="1:30" ht="153" customHeight="1">
      <c r="A28" s="1268"/>
      <c r="B28" s="1268"/>
      <c r="C28" s="1298"/>
      <c r="D28" s="1253"/>
      <c r="E28" s="35"/>
      <c r="F28" s="175" t="s">
        <v>116</v>
      </c>
      <c r="G28" s="418" t="e">
        <f>G27/VLOOKUP(C27,#REF!,8,0)</f>
        <v>#REF!</v>
      </c>
      <c r="H28" s="172" t="e">
        <f>H27/VLOOKUP(C27,#REF!,8,0)</f>
        <v>#REF!</v>
      </c>
      <c r="I28" s="1304"/>
      <c r="J28" s="251" t="e">
        <f>J27/VLOOKUP($C27,#REF!,8,0)</f>
        <v>#REF!</v>
      </c>
      <c r="K28" s="1191"/>
      <c r="L28" s="251" t="e">
        <f>L27/VLOOKUP($C27,#REF!,8,0)</f>
        <v>#REF!</v>
      </c>
      <c r="M28" s="1191"/>
      <c r="N28" s="35"/>
      <c r="O28" s="175" t="s">
        <v>116</v>
      </c>
      <c r="P28" s="251" t="e">
        <f>P27/VLOOKUP($C27,#REF!,8,0)</f>
        <v>#REF!</v>
      </c>
      <c r="Q28" s="272"/>
      <c r="R28" s="1196"/>
      <c r="S28" s="35"/>
      <c r="T28" s="175" t="s">
        <v>116</v>
      </c>
      <c r="U28" s="418" t="e">
        <f>U27/VLOOKUP(C27,#REF!,8,0)</f>
        <v>#REF!</v>
      </c>
      <c r="V28" s="1191"/>
      <c r="W28" s="659" t="e">
        <f>W27/VLOOKUP(C27,#REF!,8,0)</f>
        <v>#REF!</v>
      </c>
      <c r="X28" s="1185"/>
      <c r="Y28" s="1185"/>
      <c r="AA28" s="1226"/>
      <c r="AD28" s="33" t="str">
        <f>C27&amp;F28</f>
        <v>KoreaUSD bn</v>
      </c>
    </row>
    <row r="29" spans="1:30" ht="185.15" customHeight="1">
      <c r="A29" s="1268"/>
      <c r="B29" s="1268"/>
      <c r="C29" s="1299"/>
      <c r="D29" s="1254"/>
      <c r="E29" s="12"/>
      <c r="F29" s="53" t="s">
        <v>117</v>
      </c>
      <c r="G29" s="173" t="e">
        <f>(G27/VLOOKUP(C27,#REF!,4,0))*100</f>
        <v>#REF!</v>
      </c>
      <c r="H29" s="173" t="e">
        <f>(H27/VLOOKUP(C27,#REF!,4,0))*100</f>
        <v>#REF!</v>
      </c>
      <c r="I29" s="1280"/>
      <c r="J29" s="252" t="e">
        <f>(J27/VLOOKUP($C27,#REF!,4,0))*100</f>
        <v>#REF!</v>
      </c>
      <c r="K29" s="1192"/>
      <c r="L29" s="252" t="e">
        <f>(L27/VLOOKUP($C27,#REF!,4,0))*100</f>
        <v>#REF!</v>
      </c>
      <c r="M29" s="1192"/>
      <c r="N29" s="12"/>
      <c r="O29" s="53" t="s">
        <v>117</v>
      </c>
      <c r="P29" s="252" t="e">
        <f>(P27/VLOOKUP($C27,#REF!,4,0))*100</f>
        <v>#REF!</v>
      </c>
      <c r="Q29" s="273"/>
      <c r="R29" s="1197"/>
      <c r="S29" s="12"/>
      <c r="T29" s="53" t="s">
        <v>117</v>
      </c>
      <c r="U29" s="173" t="e">
        <f>(U27/VLOOKUP(C27,#REF!,4,0))*100</f>
        <v>#REF!</v>
      </c>
      <c r="V29" s="1192"/>
      <c r="W29" s="916" t="e">
        <f>(W27/VLOOKUP(C27,#REF!,4,0))*100</f>
        <v>#REF!</v>
      </c>
      <c r="X29" s="1186"/>
      <c r="Y29" s="1186"/>
      <c r="Z29" s="52"/>
      <c r="AA29" s="1227"/>
      <c r="AD29" s="33" t="str">
        <f>C27&amp;F29</f>
        <v>Korea% GDP</v>
      </c>
    </row>
    <row r="30" spans="1:30" s="997" customFormat="1" ht="235.5" customHeight="1">
      <c r="A30" s="1268">
        <v>1</v>
      </c>
      <c r="B30" s="1268" t="s">
        <v>858</v>
      </c>
      <c r="C30" s="1301" t="s">
        <v>32</v>
      </c>
      <c r="D30" s="1253" t="s">
        <v>570</v>
      </c>
      <c r="E30" s="996"/>
      <c r="F30" s="38" t="s">
        <v>115</v>
      </c>
      <c r="G30" s="255">
        <f>H30+J30</f>
        <v>46.1</v>
      </c>
      <c r="H30" s="979">
        <v>4.4000000000000004</v>
      </c>
      <c r="I30" s="1233" t="s">
        <v>1418</v>
      </c>
      <c r="J30" s="177">
        <f>40.6+1.1</f>
        <v>41.7</v>
      </c>
      <c r="K30" s="1190" t="s">
        <v>1419</v>
      </c>
      <c r="L30" s="986">
        <v>0.54</v>
      </c>
      <c r="M30" s="1184" t="s">
        <v>1324</v>
      </c>
      <c r="N30" s="996"/>
      <c r="O30" s="175" t="s">
        <v>115</v>
      </c>
      <c r="P30" s="1000">
        <f>Q30+U30+W30</f>
        <v>161.239</v>
      </c>
      <c r="Q30" s="276">
        <v>0.63900000000000001</v>
      </c>
      <c r="R30" s="1184" t="s">
        <v>1309</v>
      </c>
      <c r="S30" s="996"/>
      <c r="T30" s="175" t="s">
        <v>115</v>
      </c>
      <c r="U30" s="255">
        <v>150.6</v>
      </c>
      <c r="V30" s="1184" t="s">
        <v>1325</v>
      </c>
      <c r="W30" s="255">
        <v>10</v>
      </c>
      <c r="X30" s="1184" t="s">
        <v>219</v>
      </c>
      <c r="Y30" s="968"/>
      <c r="Z30" s="996"/>
      <c r="AA30" s="1225" t="s">
        <v>49</v>
      </c>
      <c r="AB30" s="997">
        <f>849+223</f>
        <v>1072</v>
      </c>
      <c r="AD30" s="33" t="str">
        <f>C30&amp;F30</f>
        <v>SpainLC bn</v>
      </c>
    </row>
    <row r="31" spans="1:30" s="55" customFormat="1" ht="206.25" customHeight="1">
      <c r="A31" s="1268"/>
      <c r="B31" s="1268"/>
      <c r="C31" s="1301"/>
      <c r="D31" s="1253"/>
      <c r="E31" s="997"/>
      <c r="F31" s="175" t="s">
        <v>116</v>
      </c>
      <c r="G31" s="251" t="e">
        <f>G30/VLOOKUP(C30,#REF!,8,0)</f>
        <v>#REF!</v>
      </c>
      <c r="H31" s="987" t="e">
        <f>H30/VLOOKUP(C30,#REF!,8,0)</f>
        <v>#REF!</v>
      </c>
      <c r="I31" s="1221"/>
      <c r="J31" s="251" t="e">
        <f>J30/VLOOKUP($C30,#REF!,8,0)</f>
        <v>#REF!</v>
      </c>
      <c r="K31" s="1238"/>
      <c r="L31" s="258" t="e">
        <f>L30/VLOOKUP(C30,#REF!,8,0)</f>
        <v>#REF!</v>
      </c>
      <c r="M31" s="1185"/>
      <c r="N31" s="997"/>
      <c r="O31" s="175" t="s">
        <v>116</v>
      </c>
      <c r="P31" s="1001" t="e">
        <f>Q31+U31+W31</f>
        <v>#REF!</v>
      </c>
      <c r="Q31" s="279" t="e">
        <f>Q30/VLOOKUP(C30,#REF!,8,0)</f>
        <v>#REF!</v>
      </c>
      <c r="R31" s="1185"/>
      <c r="S31" s="997"/>
      <c r="T31" s="175" t="s">
        <v>116</v>
      </c>
      <c r="U31" s="251" t="e">
        <f>U30/VLOOKUP(C30,#REF!,8,0)</f>
        <v>#REF!</v>
      </c>
      <c r="V31" s="1185"/>
      <c r="W31" s="251" t="e">
        <f>W30/VLOOKUP($C30,#REF!,8,0)</f>
        <v>#REF!</v>
      </c>
      <c r="X31" s="1185"/>
      <c r="Y31" s="969"/>
      <c r="Z31" s="997"/>
      <c r="AA31" s="1226"/>
      <c r="AD31" s="33" t="str">
        <f>C30&amp;F31</f>
        <v>SpainUSD bn</v>
      </c>
    </row>
    <row r="32" spans="1:30" ht="162" customHeight="1">
      <c r="A32" s="1268"/>
      <c r="B32" s="1268"/>
      <c r="C32" s="1299"/>
      <c r="D32" s="1254"/>
      <c r="E32" s="12"/>
      <c r="F32" s="53" t="s">
        <v>117</v>
      </c>
      <c r="G32" s="252" t="e">
        <f>(G30/VLOOKUP(C30,#REF!,4,0))*100</f>
        <v>#REF!</v>
      </c>
      <c r="H32" s="1008" t="e">
        <f>(H30/VLOOKUP(C30,#REF!,4,0))*100</f>
        <v>#REF!</v>
      </c>
      <c r="I32" s="1222"/>
      <c r="J32" s="252" t="e">
        <f>(J30/VLOOKUP($C30,#REF!,4,0))*100</f>
        <v>#REF!</v>
      </c>
      <c r="K32" s="1192"/>
      <c r="L32" s="252" t="e">
        <f>(L30/VLOOKUP(C30,#REF!,4,0))*100</f>
        <v>#REF!</v>
      </c>
      <c r="M32" s="1186"/>
      <c r="N32" s="12"/>
      <c r="O32" s="53" t="s">
        <v>117</v>
      </c>
      <c r="P32" s="410" t="e">
        <f>Q32+U32+W32</f>
        <v>#REF!</v>
      </c>
      <c r="Q32" s="267" t="e">
        <f>(Q30/VLOOKUP(C30,#REF!,4,0))*100</f>
        <v>#REF!</v>
      </c>
      <c r="R32" s="1186"/>
      <c r="S32" s="12"/>
      <c r="T32" s="53" t="s">
        <v>117</v>
      </c>
      <c r="U32" s="252" t="e">
        <f>(U30/VLOOKUP(C30,#REF!,4,0))*100</f>
        <v>#REF!</v>
      </c>
      <c r="V32" s="1186"/>
      <c r="W32" s="252" t="e">
        <f>(W30/VLOOKUP($C30,#REF!,4,0))*100</f>
        <v>#REF!</v>
      </c>
      <c r="X32" s="1186"/>
      <c r="Y32" s="970"/>
      <c r="Z32" s="52"/>
      <c r="AA32" s="1227"/>
      <c r="AD32" s="33" t="str">
        <f>C30&amp;F32</f>
        <v>Spain% GDP</v>
      </c>
    </row>
    <row r="33" spans="1:30" ht="149.5" customHeight="1">
      <c r="A33" s="1269">
        <v>1</v>
      </c>
      <c r="B33" s="1269" t="s">
        <v>858</v>
      </c>
      <c r="C33" s="1273" t="s">
        <v>7</v>
      </c>
      <c r="D33" s="1277" t="s">
        <v>571</v>
      </c>
      <c r="E33" s="16"/>
      <c r="F33" s="520" t="s">
        <v>115</v>
      </c>
      <c r="G33" s="102">
        <f>H33+J33</f>
        <v>344</v>
      </c>
      <c r="H33" s="102">
        <v>113</v>
      </c>
      <c r="I33" s="1220" t="s">
        <v>1335</v>
      </c>
      <c r="J33" s="102">
        <f>211.3+19.7</f>
        <v>231</v>
      </c>
      <c r="K33" s="1184" t="s">
        <v>1428</v>
      </c>
      <c r="L33" s="268">
        <v>7</v>
      </c>
      <c r="M33" s="1184" t="s">
        <v>1336</v>
      </c>
      <c r="N33" s="16"/>
      <c r="O33" s="520" t="s">
        <v>115</v>
      </c>
      <c r="P33" s="102">
        <f>Q33+U33+W33</f>
        <v>341</v>
      </c>
      <c r="Q33" s="268">
        <v>1</v>
      </c>
      <c r="R33" s="1190" t="s">
        <v>1258</v>
      </c>
      <c r="S33" s="16"/>
      <c r="T33" s="520" t="s">
        <v>115</v>
      </c>
      <c r="U33" s="102">
        <v>340</v>
      </c>
      <c r="V33" s="1190" t="s">
        <v>799</v>
      </c>
      <c r="W33" s="993"/>
      <c r="X33" s="1184"/>
      <c r="Y33" s="1244" t="s">
        <v>72</v>
      </c>
      <c r="Z33" s="15"/>
      <c r="AA33" s="1235" t="s">
        <v>71</v>
      </c>
      <c r="AD33" s="33" t="str">
        <f>C33&amp;F33</f>
        <v>United KingdomLC bn</v>
      </c>
    </row>
    <row r="34" spans="1:30" ht="175" customHeight="1">
      <c r="A34" s="1269"/>
      <c r="B34" s="1269"/>
      <c r="C34" s="1273"/>
      <c r="D34" s="1277"/>
      <c r="E34" s="6"/>
      <c r="F34" s="520" t="s">
        <v>116</v>
      </c>
      <c r="G34" s="522" t="e">
        <f>G33/VLOOKUP(C33,#REF!,8,0)</f>
        <v>#REF!</v>
      </c>
      <c r="H34" s="522" t="e">
        <f>H33/VLOOKUP(C33,#REF!,8,0)</f>
        <v>#REF!</v>
      </c>
      <c r="I34" s="1287"/>
      <c r="J34" s="190" t="e">
        <f>G34-H34</f>
        <v>#REF!</v>
      </c>
      <c r="K34" s="1219"/>
      <c r="L34" s="269" t="e">
        <f>L33/VLOOKUP($C33,#REF!,8,0)</f>
        <v>#REF!</v>
      </c>
      <c r="M34" s="1219"/>
      <c r="N34" s="6"/>
      <c r="O34" s="520" t="s">
        <v>116</v>
      </c>
      <c r="P34" s="522" t="e">
        <f>P33/VLOOKUP(C33,#REF!,8,0)</f>
        <v>#REF!</v>
      </c>
      <c r="Q34" s="269" t="e">
        <f>Q33/VLOOKUP(C33,#REF!,8,0)</f>
        <v>#REF!</v>
      </c>
      <c r="R34" s="1238"/>
      <c r="S34" s="6"/>
      <c r="T34" s="520" t="s">
        <v>116</v>
      </c>
      <c r="U34" s="522" t="e">
        <f>U33/VLOOKUP(C33,#REF!,8,0)</f>
        <v>#REF!</v>
      </c>
      <c r="V34" s="1238"/>
      <c r="W34" s="984"/>
      <c r="X34" s="1219"/>
      <c r="Y34" s="1245"/>
      <c r="AA34" s="1236"/>
      <c r="AD34" s="33" t="str">
        <f>C33&amp;F34</f>
        <v>United KingdomUSD bn</v>
      </c>
    </row>
    <row r="35" spans="1:30" s="2" customFormat="1" ht="213" customHeight="1">
      <c r="A35" s="1269"/>
      <c r="B35" s="1269"/>
      <c r="C35" s="1257"/>
      <c r="D35" s="1254"/>
      <c r="E35" s="12"/>
      <c r="F35" s="53" t="s">
        <v>117</v>
      </c>
      <c r="G35" s="17" t="e">
        <f>(G33/VLOOKUP(C33,#REF!,4,0))*100</f>
        <v>#REF!</v>
      </c>
      <c r="H35" s="17" t="e">
        <f>(H33/VLOOKUP(C33,#REF!,4,0))*100</f>
        <v>#REF!</v>
      </c>
      <c r="I35" s="1222"/>
      <c r="J35" s="991" t="e">
        <f>G35-H35</f>
        <v>#REF!</v>
      </c>
      <c r="K35" s="1186"/>
      <c r="L35" s="991" t="e">
        <f>(L33/VLOOKUP($C33,#REF!,4,0))*100</f>
        <v>#REF!</v>
      </c>
      <c r="M35" s="1186"/>
      <c r="N35" s="12"/>
      <c r="O35" s="53" t="s">
        <v>117</v>
      </c>
      <c r="P35" s="17" t="e">
        <f>(P33/VLOOKUP(C33,#REF!,4,0))*100</f>
        <v>#REF!</v>
      </c>
      <c r="Q35" s="267" t="e">
        <f>(Q33/VLOOKUP(C33,#REF!,4,0))*100</f>
        <v>#REF!</v>
      </c>
      <c r="R35" s="1192"/>
      <c r="S35" s="12"/>
      <c r="T35" s="53" t="s">
        <v>117</v>
      </c>
      <c r="U35" s="17" t="e">
        <f>(U33/VLOOKUP(C33,#REF!,4,0))*100</f>
        <v>#REF!</v>
      </c>
      <c r="V35" s="1192"/>
      <c r="W35" s="970"/>
      <c r="X35" s="1186"/>
      <c r="Y35" s="1246"/>
      <c r="Z35" s="52"/>
      <c r="AA35" s="1237"/>
      <c r="AD35" s="33" t="str">
        <f>C33&amp;F35</f>
        <v>United Kingdom% GDP</v>
      </c>
    </row>
    <row r="36" spans="1:30" s="229" customFormat="1" ht="226.5" customHeight="1">
      <c r="A36" s="1268">
        <v>1</v>
      </c>
      <c r="B36" s="1268" t="s">
        <v>858</v>
      </c>
      <c r="C36" s="1255" t="s">
        <v>8</v>
      </c>
      <c r="D36" s="1252" t="s">
        <v>571</v>
      </c>
      <c r="E36" s="16"/>
      <c r="F36" s="38" t="s">
        <v>115</v>
      </c>
      <c r="G36" s="416">
        <f>H36+J36</f>
        <v>3503.3</v>
      </c>
      <c r="H36" s="102">
        <f>474.8+9</f>
        <v>483.8</v>
      </c>
      <c r="I36" s="1233" t="s">
        <v>1460</v>
      </c>
      <c r="J36" s="416">
        <f>2637+382.5</f>
        <v>3019.5</v>
      </c>
      <c r="K36" s="1193" t="s">
        <v>1411</v>
      </c>
      <c r="L36" s="979">
        <v>18</v>
      </c>
      <c r="M36" s="1184" t="s">
        <v>1259</v>
      </c>
      <c r="N36" s="16"/>
      <c r="O36" s="38" t="s">
        <v>115</v>
      </c>
      <c r="P36" s="496">
        <f t="shared" ref="P36:P38" si="1">Q36+U36+W36</f>
        <v>510</v>
      </c>
      <c r="Q36" s="471">
        <v>56</v>
      </c>
      <c r="R36" s="1190" t="s">
        <v>608</v>
      </c>
      <c r="S36" s="16"/>
      <c r="T36" s="38" t="s">
        <v>115</v>
      </c>
      <c r="U36" s="253">
        <v>454</v>
      </c>
      <c r="V36" s="1184" t="s">
        <v>275</v>
      </c>
      <c r="W36" s="968"/>
      <c r="X36" s="968"/>
      <c r="Y36" s="1184" t="s">
        <v>73</v>
      </c>
      <c r="Z36" s="15"/>
      <c r="AA36" s="22"/>
      <c r="AD36" s="33" t="str">
        <f>C36&amp;F36</f>
        <v>United StatesLC bn</v>
      </c>
    </row>
    <row r="37" spans="1:30" ht="143.5" customHeight="1">
      <c r="A37" s="1268"/>
      <c r="B37" s="1268"/>
      <c r="C37" s="1256"/>
      <c r="D37" s="1253"/>
      <c r="E37" s="35"/>
      <c r="F37" s="175" t="s">
        <v>116</v>
      </c>
      <c r="G37" s="256" t="e">
        <f>G36/VLOOKUP(C36,#REF!,8,0)</f>
        <v>#REF!</v>
      </c>
      <c r="H37" s="103" t="e">
        <f>H36/VLOOKUP(C36,#REF!,8,0)</f>
        <v>#REF!</v>
      </c>
      <c r="I37" s="1247"/>
      <c r="J37" s="256" t="e">
        <f>J36/VLOOKUP($C36,#REF!,8,0)</f>
        <v>#REF!</v>
      </c>
      <c r="K37" s="1196"/>
      <c r="L37" s="980" t="e">
        <f>L36/VLOOKUP($C36,#REF!,8,0)</f>
        <v>#REF!</v>
      </c>
      <c r="M37" s="1185"/>
      <c r="N37" s="35"/>
      <c r="O37" s="175" t="s">
        <v>116</v>
      </c>
      <c r="P37" s="497" t="e">
        <f t="shared" si="1"/>
        <v>#REF!</v>
      </c>
      <c r="Q37" s="266" t="e">
        <f>Q36/VLOOKUP(C36,#REF!,8,0)</f>
        <v>#REF!</v>
      </c>
      <c r="R37" s="1191"/>
      <c r="S37" s="35"/>
      <c r="T37" s="175" t="s">
        <v>116</v>
      </c>
      <c r="U37" s="285" t="e">
        <f>U36/VLOOKUP(C36,#REF!,8,0)</f>
        <v>#REF!</v>
      </c>
      <c r="V37" s="1185"/>
      <c r="W37" s="969"/>
      <c r="X37" s="969"/>
      <c r="Y37" s="1185"/>
      <c r="AA37" s="989"/>
      <c r="AD37" s="33" t="str">
        <f>C36&amp;F37</f>
        <v>United StatesUSD bn</v>
      </c>
    </row>
    <row r="38" spans="1:30" ht="204" customHeight="1">
      <c r="A38" s="1268"/>
      <c r="B38" s="1268"/>
      <c r="C38" s="1257"/>
      <c r="D38" s="1254"/>
      <c r="E38" s="12"/>
      <c r="F38" s="53" t="s">
        <v>117</v>
      </c>
      <c r="G38" s="252" t="e">
        <f>(G36/VLOOKUP(C36,#REF!,4,0))*100</f>
        <v>#REF!</v>
      </c>
      <c r="H38" s="17" t="e">
        <f>(H36/VLOOKUP(C36,#REF!,4,0))*100</f>
        <v>#REF!</v>
      </c>
      <c r="I38" s="1248"/>
      <c r="J38" s="252" t="e">
        <f>(J36/VLOOKUP($C36,#REF!,4,0))*100</f>
        <v>#REF!</v>
      </c>
      <c r="K38" s="1197"/>
      <c r="L38" s="991" t="e">
        <f>(L36/VLOOKUP($C36,#REF!,4,0))*100</f>
        <v>#REF!</v>
      </c>
      <c r="M38" s="1186"/>
      <c r="N38" s="12"/>
      <c r="O38" s="53" t="s">
        <v>117</v>
      </c>
      <c r="P38" s="499" t="e">
        <f t="shared" si="1"/>
        <v>#REF!</v>
      </c>
      <c r="Q38" s="267" t="e">
        <f>(Q36/VLOOKUP(C36,#REF!,4,0))*100</f>
        <v>#REF!</v>
      </c>
      <c r="R38" s="1192"/>
      <c r="S38" s="12"/>
      <c r="T38" s="53" t="s">
        <v>117</v>
      </c>
      <c r="U38" s="78" t="e">
        <f>(U36/VLOOKUP(C36,#REF!,4,0))*100</f>
        <v>#REF!</v>
      </c>
      <c r="V38" s="1186"/>
      <c r="W38" s="970"/>
      <c r="X38" s="970"/>
      <c r="Y38" s="1186"/>
      <c r="Z38" s="52"/>
      <c r="AA38" s="990"/>
      <c r="AD38" s="33" t="str">
        <f>C36&amp;F38</f>
        <v>United States% GDP</v>
      </c>
    </row>
    <row r="39" spans="1:30" ht="139.5" customHeight="1">
      <c r="A39" s="1268">
        <v>1</v>
      </c>
      <c r="B39" s="1268" t="s">
        <v>861</v>
      </c>
      <c r="C39" s="1256" t="s">
        <v>9</v>
      </c>
      <c r="D39" s="1253" t="s">
        <v>571</v>
      </c>
      <c r="E39" s="35"/>
      <c r="F39" s="175" t="s">
        <v>115</v>
      </c>
      <c r="G39" s="121">
        <f>H39+J39</f>
        <v>1037.5</v>
      </c>
      <c r="H39" s="103">
        <f>48.9+29.1</f>
        <v>78</v>
      </c>
      <c r="I39" s="1278" t="s">
        <v>1361</v>
      </c>
      <c r="J39" s="103">
        <f>892.4+67.1</f>
        <v>959.5</v>
      </c>
      <c r="K39" s="1190" t="s">
        <v>1362</v>
      </c>
      <c r="L39" s="103">
        <v>10</v>
      </c>
      <c r="M39" s="1190" t="s">
        <v>835</v>
      </c>
      <c r="N39" s="35"/>
      <c r="O39" s="175" t="s">
        <v>115</v>
      </c>
      <c r="P39" s="251">
        <f>Q39+U39+W39</f>
        <v>530.1</v>
      </c>
      <c r="Q39" s="269"/>
      <c r="R39" s="1190"/>
      <c r="S39" s="35"/>
      <c r="T39" s="175" t="s">
        <v>115</v>
      </c>
      <c r="U39" s="418">
        <v>530.1</v>
      </c>
      <c r="V39" s="1190" t="s">
        <v>1363</v>
      </c>
      <c r="W39" s="969"/>
      <c r="X39" s="1184"/>
      <c r="Y39" s="58"/>
      <c r="AA39" s="58"/>
      <c r="AD39" s="33" t="str">
        <f>C39&amp;F39</f>
        <v>ArgentinaLC bn</v>
      </c>
    </row>
    <row r="40" spans="1:30" ht="139.5" customHeight="1">
      <c r="A40" s="1268"/>
      <c r="B40" s="1268"/>
      <c r="C40" s="1256"/>
      <c r="D40" s="1253"/>
      <c r="E40" s="35"/>
      <c r="F40" s="175" t="s">
        <v>116</v>
      </c>
      <c r="G40" s="257" t="e">
        <f>G39/VLOOKUP(C39,#REF!,8,0)</f>
        <v>#REF!</v>
      </c>
      <c r="H40" s="82" t="e">
        <f>H39/VLOOKUP(C39,#REF!,8,0)</f>
        <v>#REF!</v>
      </c>
      <c r="I40" s="1304"/>
      <c r="J40" s="251" t="e">
        <f>G40-H40</f>
        <v>#REF!</v>
      </c>
      <c r="K40" s="1191"/>
      <c r="L40" s="258" t="e">
        <f>L39/VLOOKUP($C39,#REF!,8,0)</f>
        <v>#REF!</v>
      </c>
      <c r="M40" s="1191"/>
      <c r="N40" s="35"/>
      <c r="O40" s="175" t="s">
        <v>116</v>
      </c>
      <c r="P40" s="258" t="e">
        <f>P39/VLOOKUP($C39,#REF!,8,0)</f>
        <v>#REF!</v>
      </c>
      <c r="Q40" s="269"/>
      <c r="R40" s="1191"/>
      <c r="S40" s="35"/>
      <c r="T40" s="175" t="s">
        <v>116</v>
      </c>
      <c r="U40" s="258" t="e">
        <f>U39/VLOOKUP($C39,#REF!,8,0)</f>
        <v>#REF!</v>
      </c>
      <c r="V40" s="1191"/>
      <c r="W40" s="969"/>
      <c r="X40" s="1185"/>
      <c r="Y40" s="969" t="s">
        <v>152</v>
      </c>
      <c r="AA40" s="989"/>
      <c r="AD40" s="33" t="str">
        <f>C39&amp;F40</f>
        <v>ArgentinaUSD bn</v>
      </c>
    </row>
    <row r="41" spans="1:30" ht="159" customHeight="1">
      <c r="A41" s="1268"/>
      <c r="B41" s="1268"/>
      <c r="C41" s="1257"/>
      <c r="D41" s="1254"/>
      <c r="E41" s="12"/>
      <c r="F41" s="53" t="s">
        <v>117</v>
      </c>
      <c r="G41" s="252" t="e">
        <f>(G39/VLOOKUP("Argentina",#REF!,4,0))*100</f>
        <v>#REF!</v>
      </c>
      <c r="H41" s="252" t="e">
        <f>(H39/VLOOKUP("Argentina",#REF!,4,0))*100</f>
        <v>#REF!</v>
      </c>
      <c r="I41" s="1280"/>
      <c r="J41" s="252" t="e">
        <f>(J39/VLOOKUP($C39,#REF!,4,0))*100</f>
        <v>#REF!</v>
      </c>
      <c r="K41" s="1192"/>
      <c r="L41" s="252" t="e">
        <f>(L39/VLOOKUP($C39,#REF!,4,0))*100</f>
        <v>#REF!</v>
      </c>
      <c r="M41" s="1192"/>
      <c r="N41" s="12"/>
      <c r="O41" s="53" t="s">
        <v>117</v>
      </c>
      <c r="P41" s="252" t="e">
        <f>(P39/VLOOKUP($C39,#REF!,4,0))*100</f>
        <v>#REF!</v>
      </c>
      <c r="Q41" s="267"/>
      <c r="R41" s="1192"/>
      <c r="S41" s="12"/>
      <c r="T41" s="53" t="s">
        <v>117</v>
      </c>
      <c r="U41" s="252" t="e">
        <f>(U39/VLOOKUP($C39,#REF!,4,0))*100</f>
        <v>#REF!</v>
      </c>
      <c r="V41" s="1192"/>
      <c r="W41" s="970"/>
      <c r="X41" s="1186"/>
      <c r="Y41" s="970"/>
      <c r="Z41" s="52"/>
      <c r="AA41" s="990"/>
      <c r="AD41" s="33" t="str">
        <f>C39&amp;F41</f>
        <v>Argentina% GDP</v>
      </c>
    </row>
    <row r="42" spans="1:30" ht="121.5" customHeight="1">
      <c r="A42" s="1268">
        <v>1</v>
      </c>
      <c r="B42" s="1268" t="s">
        <v>861</v>
      </c>
      <c r="C42" s="1298" t="s">
        <v>10</v>
      </c>
      <c r="D42" s="1253" t="s">
        <v>570</v>
      </c>
      <c r="E42" s="16"/>
      <c r="F42" s="175" t="s">
        <v>115</v>
      </c>
      <c r="G42" s="253">
        <f>J42+H42</f>
        <v>610.20000000000005</v>
      </c>
      <c r="H42" s="102">
        <f>59.3+7.1+20</f>
        <v>86.399999999999991</v>
      </c>
      <c r="I42" s="1302" t="s">
        <v>1431</v>
      </c>
      <c r="J42" s="102">
        <f>504.7+20.4-1.3</f>
        <v>523.80000000000007</v>
      </c>
      <c r="K42" s="1193" t="s">
        <v>1432</v>
      </c>
      <c r="L42" s="102">
        <f>58.7+143.1</f>
        <v>201.8</v>
      </c>
      <c r="M42" s="1190" t="s">
        <v>1328</v>
      </c>
      <c r="N42" s="16"/>
      <c r="O42" s="175" t="s">
        <v>115</v>
      </c>
      <c r="P42" s="102">
        <f>Q42+U42+W42</f>
        <v>457.69999999999993</v>
      </c>
      <c r="Q42" s="270">
        <f>69.7+10.2</f>
        <v>79.900000000000006</v>
      </c>
      <c r="R42" s="1193" t="s">
        <v>1433</v>
      </c>
      <c r="S42" s="534"/>
      <c r="T42" s="506" t="s">
        <v>115</v>
      </c>
      <c r="U42" s="253"/>
      <c r="V42" s="1193" t="s">
        <v>711</v>
      </c>
      <c r="W42" s="122">
        <f>309.4+32.2+36.2</f>
        <v>377.79999999999995</v>
      </c>
      <c r="X42" s="1193" t="s">
        <v>1329</v>
      </c>
      <c r="Y42" s="1184" t="s">
        <v>75</v>
      </c>
      <c r="Z42" s="15"/>
      <c r="AA42" s="22"/>
      <c r="AD42" s="33" t="str">
        <f>C42&amp;F42</f>
        <v>BrazilLC bn</v>
      </c>
    </row>
    <row r="43" spans="1:30" ht="127" customHeight="1">
      <c r="A43" s="1268"/>
      <c r="B43" s="1268"/>
      <c r="C43" s="1298"/>
      <c r="D43" s="1253"/>
      <c r="E43" s="35"/>
      <c r="F43" s="175" t="s">
        <v>116</v>
      </c>
      <c r="G43" s="251" t="e">
        <f>G42/VLOOKUP(C42,#REF!,8,0)</f>
        <v>#REF!</v>
      </c>
      <c r="H43" s="251" t="e">
        <f>H42/VLOOKUP($C42,#REF!,8,0)</f>
        <v>#REF!</v>
      </c>
      <c r="I43" s="1221"/>
      <c r="J43" s="251" t="e">
        <f>J42/VLOOKUP($C42,#REF!,8,0)</f>
        <v>#REF!</v>
      </c>
      <c r="K43" s="1196"/>
      <c r="L43" s="251" t="e">
        <f>L42/VLOOKUP($C42,#REF!,8,0)</f>
        <v>#REF!</v>
      </c>
      <c r="M43" s="1191"/>
      <c r="N43" s="35"/>
      <c r="O43" s="175" t="s">
        <v>116</v>
      </c>
      <c r="P43" s="103" t="e">
        <f>P42/VLOOKUP(C42,#REF!,8,0)</f>
        <v>#REF!</v>
      </c>
      <c r="Q43" s="266" t="e">
        <f>Q42/VLOOKUP(C42,#REF!,8,0)</f>
        <v>#REF!</v>
      </c>
      <c r="R43" s="1196"/>
      <c r="S43" s="509"/>
      <c r="T43" s="506" t="s">
        <v>116</v>
      </c>
      <c r="U43" s="258"/>
      <c r="V43" s="1196"/>
      <c r="W43" s="251" t="e">
        <f>W42/VLOOKUP($C42,#REF!,8,0)</f>
        <v>#REF!</v>
      </c>
      <c r="X43" s="1196"/>
      <c r="Y43" s="1185"/>
      <c r="AA43" s="989"/>
      <c r="AD43" s="33" t="str">
        <f>C42&amp;F43</f>
        <v>BrazilUSD bn</v>
      </c>
    </row>
    <row r="44" spans="1:30" ht="232" customHeight="1">
      <c r="A44" s="1268"/>
      <c r="B44" s="1268"/>
      <c r="C44" s="1299"/>
      <c r="D44" s="1254"/>
      <c r="E44" s="35"/>
      <c r="F44" s="175" t="s">
        <v>117</v>
      </c>
      <c r="G44" s="258" t="e">
        <f>(G42/VLOOKUP(C42,#REF!,4,0))*100</f>
        <v>#REF!</v>
      </c>
      <c r="H44" s="252" t="e">
        <f>(H42/VLOOKUP($C42,#REF!,4,0))*100</f>
        <v>#REF!</v>
      </c>
      <c r="I44" s="1222"/>
      <c r="J44" s="252" t="e">
        <f>(J42/VLOOKUP($C42,#REF!,4,0))*100</f>
        <v>#REF!</v>
      </c>
      <c r="K44" s="1197"/>
      <c r="L44" s="252" t="e">
        <f>(L42/VLOOKUP($C42,#REF!,4,0))*100</f>
        <v>#REF!</v>
      </c>
      <c r="M44" s="1192"/>
      <c r="N44" s="35"/>
      <c r="O44" s="175" t="s">
        <v>117</v>
      </c>
      <c r="P44" s="82" t="e">
        <f>(P42/VLOOKUP(C42,#REF!,4,0))*100</f>
        <v>#REF!</v>
      </c>
      <c r="Q44" s="269" t="e">
        <f>(Q42/VLOOKUP(C42,#REF!,4,0))*100</f>
        <v>#REF!</v>
      </c>
      <c r="R44" s="1197"/>
      <c r="S44" s="509"/>
      <c r="T44" s="506" t="s">
        <v>117</v>
      </c>
      <c r="U44" s="258"/>
      <c r="V44" s="1197"/>
      <c r="W44" s="252" t="e">
        <f>(W42/VLOOKUP($C42,#REF!,4,0))*100</f>
        <v>#REF!</v>
      </c>
      <c r="X44" s="1197"/>
      <c r="Y44" s="1186"/>
      <c r="AA44" s="989"/>
      <c r="AD44" s="33" t="str">
        <f>C42&amp;F44</f>
        <v>Brazil% GDP</v>
      </c>
    </row>
    <row r="45" spans="1:30" s="996" customFormat="1" ht="137.5" customHeight="1">
      <c r="A45" s="1268">
        <v>1</v>
      </c>
      <c r="B45" s="1268" t="s">
        <v>861</v>
      </c>
      <c r="C45" s="1298" t="s">
        <v>11</v>
      </c>
      <c r="D45" s="1253" t="s">
        <v>570</v>
      </c>
      <c r="F45" s="38" t="s">
        <v>115</v>
      </c>
      <c r="G45" s="186">
        <f>H45+J45</f>
        <v>4904</v>
      </c>
      <c r="H45" s="979">
        <v>147</v>
      </c>
      <c r="I45" s="1220" t="s">
        <v>618</v>
      </c>
      <c r="J45" s="186">
        <f>3001+1756</f>
        <v>4757</v>
      </c>
      <c r="K45" s="1190" t="s">
        <v>1434</v>
      </c>
      <c r="L45" s="186">
        <v>1600</v>
      </c>
      <c r="M45" s="1190" t="s">
        <v>1260</v>
      </c>
      <c r="O45" s="38" t="s">
        <v>115</v>
      </c>
      <c r="P45" s="496">
        <f>Q45+U45+W45</f>
        <v>1330</v>
      </c>
      <c r="Q45" s="274">
        <v>0</v>
      </c>
      <c r="R45" s="1184" t="s">
        <v>1221</v>
      </c>
      <c r="T45" s="38" t="s">
        <v>115</v>
      </c>
      <c r="U45" s="255">
        <v>400</v>
      </c>
      <c r="V45" s="1193" t="s">
        <v>944</v>
      </c>
      <c r="W45" s="971">
        <v>930</v>
      </c>
      <c r="X45" s="1190" t="s">
        <v>1461</v>
      </c>
      <c r="Y45" s="1184" t="s">
        <v>76</v>
      </c>
      <c r="AA45" s="968"/>
      <c r="AD45" s="33" t="str">
        <f>C45&amp;F45</f>
        <v>ChinaLC bn</v>
      </c>
    </row>
    <row r="46" spans="1:30" ht="137.5" customHeight="1">
      <c r="A46" s="1268"/>
      <c r="B46" s="1268"/>
      <c r="C46" s="1298"/>
      <c r="D46" s="1253"/>
      <c r="E46" s="35"/>
      <c r="F46" s="175" t="s">
        <v>116</v>
      </c>
      <c r="G46" s="251" t="e">
        <f>G45/VLOOKUP(C45,#REF!,8,0)</f>
        <v>#REF!</v>
      </c>
      <c r="H46" s="251" t="e">
        <f>H45/VLOOKUP($C45,#REF!,8,0)</f>
        <v>#REF!</v>
      </c>
      <c r="I46" s="1221"/>
      <c r="J46" s="251" t="e">
        <f>J45/VLOOKUP($C45,#REF!,8,0)</f>
        <v>#REF!</v>
      </c>
      <c r="K46" s="1238"/>
      <c r="L46" s="251" t="e">
        <f>L45/VLOOKUP($C45,#REF!,8,0)</f>
        <v>#REF!</v>
      </c>
      <c r="M46" s="1238"/>
      <c r="N46" s="35"/>
      <c r="O46" s="175" t="s">
        <v>116</v>
      </c>
      <c r="P46" s="497" t="e">
        <f>Q46+U46+W46</f>
        <v>#REF!</v>
      </c>
      <c r="Q46" s="266"/>
      <c r="R46" s="1219"/>
      <c r="S46" s="35"/>
      <c r="T46" s="175" t="s">
        <v>116</v>
      </c>
      <c r="U46" s="251" t="e">
        <f>U45/VLOOKUP(C45,#REF!,8,0)</f>
        <v>#REF!</v>
      </c>
      <c r="V46" s="1196"/>
      <c r="W46" s="118" t="e">
        <f>W45/VLOOKUP($C45,#REF!,8,0)</f>
        <v>#REF!</v>
      </c>
      <c r="X46" s="1191"/>
      <c r="Y46" s="1185"/>
      <c r="AA46" s="989"/>
      <c r="AD46" s="33" t="str">
        <f>C45&amp;F46</f>
        <v>ChinaUSD bn</v>
      </c>
    </row>
    <row r="47" spans="1:30" ht="141" customHeight="1">
      <c r="A47" s="1268"/>
      <c r="B47" s="1268"/>
      <c r="C47" s="1299"/>
      <c r="D47" s="1254"/>
      <c r="E47" s="12"/>
      <c r="F47" s="53" t="s">
        <v>117</v>
      </c>
      <c r="G47" s="252" t="e">
        <f>(G45/VLOOKUP(C45,#REF!,4,0))*100</f>
        <v>#REF!</v>
      </c>
      <c r="H47" s="252" t="e">
        <f>(H45/VLOOKUP($C45,#REF!,4,0))*100</f>
        <v>#REF!</v>
      </c>
      <c r="I47" s="1222"/>
      <c r="J47" s="252" t="e">
        <f>(J45/VLOOKUP($C45,#REF!,4,0))*100</f>
        <v>#REF!</v>
      </c>
      <c r="K47" s="1192"/>
      <c r="L47" s="252" t="e">
        <f>(L45/VLOOKUP($C45,#REF!,4,0))*100</f>
        <v>#REF!</v>
      </c>
      <c r="M47" s="1192"/>
      <c r="N47" s="12"/>
      <c r="O47" s="53" t="s">
        <v>117</v>
      </c>
      <c r="P47" s="499" t="e">
        <f t="shared" ref="P47" si="2">Q47+U47+W47</f>
        <v>#REF!</v>
      </c>
      <c r="Q47" s="267"/>
      <c r="R47" s="1186"/>
      <c r="S47" s="12"/>
      <c r="T47" s="53" t="s">
        <v>117</v>
      </c>
      <c r="U47" s="252" t="e">
        <f>(U45/VLOOKUP(C45,#REF!,4,0))*100</f>
        <v>#REF!</v>
      </c>
      <c r="V47" s="1197"/>
      <c r="W47" s="987" t="e">
        <f>(W45/VLOOKUP($C45,#REF!,4,0))*100</f>
        <v>#REF!</v>
      </c>
      <c r="X47" s="1192"/>
      <c r="Y47" s="1185"/>
      <c r="AA47" s="989"/>
      <c r="AD47" s="33" t="str">
        <f>C45&amp;F47</f>
        <v>China% GDP</v>
      </c>
    </row>
    <row r="48" spans="1:30" s="996" customFormat="1" ht="191.5" customHeight="1">
      <c r="A48" s="1268">
        <v>1</v>
      </c>
      <c r="B48" s="1268" t="s">
        <v>861</v>
      </c>
      <c r="C48" s="1256" t="s">
        <v>12</v>
      </c>
      <c r="D48" s="1253" t="s">
        <v>571</v>
      </c>
      <c r="F48" s="38" t="s">
        <v>115</v>
      </c>
      <c r="G48" s="186">
        <f>H48+J48</f>
        <v>5998.7</v>
      </c>
      <c r="H48" s="979">
        <v>360</v>
      </c>
      <c r="I48" s="1184" t="s">
        <v>1330</v>
      </c>
      <c r="J48" s="186">
        <v>5638.7</v>
      </c>
      <c r="K48" s="1190" t="s">
        <v>1394</v>
      </c>
      <c r="L48" s="979">
        <f>660+680</f>
        <v>1340</v>
      </c>
      <c r="M48" s="1190" t="s">
        <v>1331</v>
      </c>
      <c r="O48" s="38" t="s">
        <v>115</v>
      </c>
      <c r="P48" s="186">
        <f>Q48+U48+W48</f>
        <v>9991</v>
      </c>
      <c r="Q48" s="979">
        <v>641</v>
      </c>
      <c r="R48" s="1184" t="s">
        <v>1332</v>
      </c>
      <c r="T48" s="38" t="s">
        <v>115</v>
      </c>
      <c r="U48" s="185">
        <v>8450</v>
      </c>
      <c r="V48" s="1190" t="s">
        <v>1333</v>
      </c>
      <c r="W48" s="979">
        <v>900</v>
      </c>
      <c r="X48" s="1184" t="s">
        <v>1334</v>
      </c>
      <c r="Y48" s="968"/>
      <c r="AA48" s="1225" t="s">
        <v>57</v>
      </c>
      <c r="AD48" s="33" t="str">
        <f>C48&amp;F48</f>
        <v>IndiaLC bn</v>
      </c>
    </row>
    <row r="49" spans="1:30" s="997" customFormat="1" ht="170.5" customHeight="1">
      <c r="A49" s="1268"/>
      <c r="B49" s="1268"/>
      <c r="C49" s="1256"/>
      <c r="D49" s="1253"/>
      <c r="F49" s="175" t="s">
        <v>116</v>
      </c>
      <c r="G49" s="251" t="e">
        <f>G48/VLOOKUP(C48,#REF!,8,0)</f>
        <v>#REF!</v>
      </c>
      <c r="H49" s="258" t="e">
        <f>H48/VLOOKUP($C48,#REF!,8,0)</f>
        <v>#REF!</v>
      </c>
      <c r="I49" s="1185"/>
      <c r="J49" s="251" t="e">
        <f>J48/VLOOKUP($C48,#REF!,8,0)</f>
        <v>#REF!</v>
      </c>
      <c r="K49" s="1238"/>
      <c r="L49" s="258" t="e">
        <f>L48/VLOOKUP($C48,#REF!,8,0)</f>
        <v>#REF!</v>
      </c>
      <c r="M49" s="1191"/>
      <c r="O49" s="175" t="s">
        <v>116</v>
      </c>
      <c r="P49" s="266" t="e">
        <f>P48/VLOOKUP($C48,#REF!,8,0)</f>
        <v>#REF!</v>
      </c>
      <c r="Q49" s="269" t="e">
        <f>Q48/VLOOKUP($C48,#REF!,8,0)</f>
        <v>#REF!</v>
      </c>
      <c r="R49" s="1185"/>
      <c r="T49" s="175" t="s">
        <v>116</v>
      </c>
      <c r="U49" s="266" t="e">
        <f>U48/VLOOKUP($C48,#REF!,8,0)</f>
        <v>#REF!</v>
      </c>
      <c r="V49" s="1191"/>
      <c r="W49" s="266" t="e">
        <f>W48/VLOOKUP($C48,#REF!,8,0)</f>
        <v>#REF!</v>
      </c>
      <c r="X49" s="1185"/>
      <c r="Y49" s="969"/>
      <c r="AA49" s="1226"/>
      <c r="AD49" s="33" t="str">
        <f>C48&amp;F49</f>
        <v>IndiaUSD bn</v>
      </c>
    </row>
    <row r="50" spans="1:30" ht="171" customHeight="1">
      <c r="A50" s="1268"/>
      <c r="B50" s="1268"/>
      <c r="C50" s="1257"/>
      <c r="D50" s="1254"/>
      <c r="E50" s="35"/>
      <c r="F50" s="175" t="s">
        <v>117</v>
      </c>
      <c r="G50" s="258" t="e">
        <f>(G48/VLOOKUP(C48,#REF!,4,0))*100</f>
        <v>#REF!</v>
      </c>
      <c r="H50" s="173" t="e">
        <f>(H48/VLOOKUP($C48,#REF!,4,0))*100</f>
        <v>#REF!</v>
      </c>
      <c r="I50" s="1186"/>
      <c r="J50" s="173" t="e">
        <f>(J48/VLOOKUP($C48,#REF!,4,0))*100</f>
        <v>#REF!</v>
      </c>
      <c r="K50" s="1192"/>
      <c r="L50" s="173" t="e">
        <f>(L48/VLOOKUP($C48,#REF!,4,0))*100</f>
        <v>#REF!</v>
      </c>
      <c r="M50" s="1192"/>
      <c r="N50" s="35"/>
      <c r="O50" s="175" t="s">
        <v>117</v>
      </c>
      <c r="P50" s="173" t="e">
        <f>(P48/VLOOKUP($C48,#REF!,4,0))*100</f>
        <v>#REF!</v>
      </c>
      <c r="Q50" s="173" t="e">
        <f>(Q48/VLOOKUP($C48,#REF!,4,0))*100</f>
        <v>#REF!</v>
      </c>
      <c r="R50" s="1186"/>
      <c r="S50" s="35"/>
      <c r="T50" s="175" t="s">
        <v>117</v>
      </c>
      <c r="U50" s="173" t="e">
        <f>(U48/VLOOKUP($C48,#REF!,4,0))*100</f>
        <v>#REF!</v>
      </c>
      <c r="V50" s="1192"/>
      <c r="W50" s="173" t="e">
        <f>(W48/VLOOKUP($C48,#REF!,4,0))*100</f>
        <v>#REF!</v>
      </c>
      <c r="X50" s="1186"/>
      <c r="Y50" s="969"/>
      <c r="AA50" s="1227"/>
      <c r="AD50" s="33" t="str">
        <f>C48&amp;F50</f>
        <v>India% GDP</v>
      </c>
    </row>
    <row r="51" spans="1:30" s="996" customFormat="1" ht="92.5" customHeight="1">
      <c r="A51" s="1268">
        <v>1</v>
      </c>
      <c r="B51" s="1268" t="s">
        <v>861</v>
      </c>
      <c r="C51" s="1256" t="s">
        <v>13</v>
      </c>
      <c r="D51" s="1253" t="s">
        <v>571</v>
      </c>
      <c r="F51" s="38" t="s">
        <v>115</v>
      </c>
      <c r="G51" s="186">
        <f>H51+J51</f>
        <v>424500</v>
      </c>
      <c r="H51" s="474">
        <v>76000</v>
      </c>
      <c r="I51" s="1184" t="s">
        <v>841</v>
      </c>
      <c r="J51" s="474">
        <f>252200+96300</f>
        <v>348500</v>
      </c>
      <c r="K51" s="1193" t="s">
        <v>1254</v>
      </c>
      <c r="L51" s="973"/>
      <c r="M51" s="1190" t="s">
        <v>1261</v>
      </c>
      <c r="O51" s="38" t="s">
        <v>115</v>
      </c>
      <c r="P51" s="475">
        <f>Q51+U51+W51</f>
        <v>135150</v>
      </c>
      <c r="Q51" s="282">
        <v>35150</v>
      </c>
      <c r="R51" s="1193" t="s">
        <v>1255</v>
      </c>
      <c r="T51" s="38" t="s">
        <v>115</v>
      </c>
      <c r="U51" s="282">
        <v>100000</v>
      </c>
      <c r="V51" s="1190" t="s">
        <v>1303</v>
      </c>
      <c r="W51" s="536"/>
      <c r="X51" s="973"/>
      <c r="Y51" s="968"/>
      <c r="AA51" s="968"/>
      <c r="AD51" s="33" t="str">
        <f>C51&amp;F51</f>
        <v>IndonesiaLC bn</v>
      </c>
    </row>
    <row r="52" spans="1:30" s="997" customFormat="1" ht="109" customHeight="1">
      <c r="A52" s="1268"/>
      <c r="B52" s="1268"/>
      <c r="C52" s="1256"/>
      <c r="D52" s="1253"/>
      <c r="F52" s="175" t="s">
        <v>116</v>
      </c>
      <c r="G52" s="251" t="e">
        <f>G51/VLOOKUP(C51,#REF!,8,0)</f>
        <v>#REF!</v>
      </c>
      <c r="H52" s="258" t="e">
        <f>H51/VLOOKUP($C51,#REF!,8,0)</f>
        <v>#REF!</v>
      </c>
      <c r="I52" s="1185"/>
      <c r="J52" s="418" t="e">
        <f>J51/VLOOKUP($C51,#REF!,8,0)</f>
        <v>#REF!</v>
      </c>
      <c r="K52" s="1196"/>
      <c r="L52" s="974"/>
      <c r="M52" s="1191"/>
      <c r="O52" s="175" t="s">
        <v>116</v>
      </c>
      <c r="P52" s="251" t="e">
        <f>P51/VLOOKUP($C51,#REF!,8,0)</f>
        <v>#REF!</v>
      </c>
      <c r="Q52" s="279" t="e">
        <f>Q51/VLOOKUP($C51,#REF!,8,0)</f>
        <v>#REF!</v>
      </c>
      <c r="R52" s="1290"/>
      <c r="T52" s="175" t="s">
        <v>116</v>
      </c>
      <c r="U52" s="272" t="e">
        <f>U51/VLOOKUP($C51,#REF!,8,0)</f>
        <v>#REF!</v>
      </c>
      <c r="V52" s="1191"/>
      <c r="W52" s="537"/>
      <c r="X52" s="994"/>
      <c r="Y52" s="969"/>
      <c r="AA52" s="969"/>
      <c r="AD52" s="33" t="str">
        <f>C51&amp;F52</f>
        <v>IndonesiaUSD bn</v>
      </c>
    </row>
    <row r="53" spans="1:30" s="2" customFormat="1" ht="102.65" customHeight="1">
      <c r="A53" s="1268"/>
      <c r="B53" s="1268"/>
      <c r="C53" s="1257"/>
      <c r="D53" s="1254"/>
      <c r="E53" s="12"/>
      <c r="F53" s="53" t="s">
        <v>117</v>
      </c>
      <c r="G53" s="252" t="e">
        <f>(G51/VLOOKUP(C51,#REF!,4,0))*100</f>
        <v>#REF!</v>
      </c>
      <c r="H53" s="252" t="e">
        <f>(H51/VLOOKUP($C51,#REF!,4,0))*100</f>
        <v>#REF!</v>
      </c>
      <c r="I53" s="1186"/>
      <c r="J53" s="173" t="e">
        <f>(J51/VLOOKUP($C51,#REF!,4,0))*100</f>
        <v>#REF!</v>
      </c>
      <c r="K53" s="1197"/>
      <c r="L53" s="975"/>
      <c r="M53" s="1192"/>
      <c r="N53" s="12"/>
      <c r="O53" s="53" t="s">
        <v>117</v>
      </c>
      <c r="P53" s="252" t="e">
        <f>(P51/VLOOKUP($C51,#REF!,4,0))*100</f>
        <v>#REF!</v>
      </c>
      <c r="Q53" s="273" t="e">
        <f>(Q51/VLOOKUP($C51,#REF!,4,0))*100</f>
        <v>#REF!</v>
      </c>
      <c r="R53" s="1291"/>
      <c r="S53" s="12"/>
      <c r="T53" s="53" t="s">
        <v>117</v>
      </c>
      <c r="U53" s="273" t="e">
        <f>(U51/VLOOKUP($C51,#REF!,4,0))*100</f>
        <v>#REF!</v>
      </c>
      <c r="V53" s="1192"/>
      <c r="W53" s="538"/>
      <c r="X53" s="975"/>
      <c r="Y53" s="192" t="s">
        <v>296</v>
      </c>
      <c r="Z53" s="52"/>
      <c r="AA53" s="990"/>
      <c r="AD53" s="33" t="str">
        <f>C51&amp;F53</f>
        <v>Indonesia% GDP</v>
      </c>
    </row>
    <row r="54" spans="1:30" s="37" customFormat="1" ht="58.5" customHeight="1">
      <c r="A54" s="1268">
        <v>1</v>
      </c>
      <c r="B54" s="1268" t="s">
        <v>861</v>
      </c>
      <c r="C54" s="1256" t="s">
        <v>14</v>
      </c>
      <c r="D54" s="1253" t="s">
        <v>572</v>
      </c>
      <c r="F54" s="175" t="s">
        <v>115</v>
      </c>
      <c r="G54" s="257">
        <f>H54+J54</f>
        <v>154</v>
      </c>
      <c r="H54" s="980">
        <v>50</v>
      </c>
      <c r="I54" s="1288" t="s">
        <v>1350</v>
      </c>
      <c r="J54" s="118">
        <v>104</v>
      </c>
      <c r="K54" s="1289" t="s">
        <v>1347</v>
      </c>
      <c r="L54" s="118">
        <v>92</v>
      </c>
      <c r="M54" s="1190" t="s">
        <v>1348</v>
      </c>
      <c r="O54" s="175" t="s">
        <v>115</v>
      </c>
      <c r="P54" s="118">
        <f>SUM(Q54,U54,W54)</f>
        <v>289.512</v>
      </c>
      <c r="Q54" s="265">
        <f>34.3+3+2</f>
        <v>39.299999999999997</v>
      </c>
      <c r="R54" s="1184" t="s">
        <v>1349</v>
      </c>
      <c r="T54" s="175" t="s">
        <v>115</v>
      </c>
      <c r="U54" s="1007">
        <v>24.512</v>
      </c>
      <c r="V54" s="969" t="s">
        <v>1435</v>
      </c>
      <c r="W54" s="265">
        <v>225.7</v>
      </c>
      <c r="X54" s="1184" t="s">
        <v>1436</v>
      </c>
      <c r="Y54" s="1184" t="s">
        <v>77</v>
      </c>
      <c r="AA54" s="1292" t="s">
        <v>1437</v>
      </c>
      <c r="AD54" s="33" t="str">
        <f>C54&amp;F54</f>
        <v>MexicoLC bn</v>
      </c>
    </row>
    <row r="55" spans="1:30" s="37" customFormat="1" ht="58.5" customHeight="1">
      <c r="A55" s="1268"/>
      <c r="B55" s="1268"/>
      <c r="C55" s="1256"/>
      <c r="D55" s="1253"/>
      <c r="F55" s="175" t="s">
        <v>116</v>
      </c>
      <c r="G55" s="258" t="e">
        <f>G54/VLOOKUP(C54,#REF!,8,0)</f>
        <v>#REF!</v>
      </c>
      <c r="H55" s="258" t="e">
        <f>H54/VLOOKUP($C54,#REF!,8,0)</f>
        <v>#REF!</v>
      </c>
      <c r="I55" s="1247"/>
      <c r="J55" s="258" t="e">
        <f>J54/VLOOKUP($C54,#REF!,8,0)</f>
        <v>#REF!</v>
      </c>
      <c r="K55" s="1191"/>
      <c r="L55" s="258" t="e">
        <f>L54/VLOOKUP($C54,#REF!,8,0)</f>
        <v>#REF!</v>
      </c>
      <c r="M55" s="1191"/>
      <c r="O55" s="175" t="s">
        <v>116</v>
      </c>
      <c r="P55" s="258" t="e">
        <f>P54/VLOOKUP($C54,#REF!,8,0)</f>
        <v>#REF!</v>
      </c>
      <c r="Q55" s="258" t="e">
        <f>Q54/VLOOKUP($C54,#REF!,8,0)</f>
        <v>#REF!</v>
      </c>
      <c r="R55" s="1219"/>
      <c r="T55" s="175" t="s">
        <v>116</v>
      </c>
      <c r="U55" s="1007" t="e">
        <f>U54/VLOOKUP($C54,#REF!,8,0)</f>
        <v>#REF!</v>
      </c>
      <c r="V55" s="969"/>
      <c r="W55" s="258" t="e">
        <f>W54/VLOOKUP($C54,#REF!,8,0)</f>
        <v>#REF!</v>
      </c>
      <c r="X55" s="1185"/>
      <c r="Y55" s="1185"/>
      <c r="AA55" s="1293"/>
      <c r="AD55" s="33" t="str">
        <f>C54&amp;F55</f>
        <v>MexicoUSD bn</v>
      </c>
    </row>
    <row r="56" spans="1:30" s="61" customFormat="1" ht="58.5" customHeight="1">
      <c r="A56" s="1268"/>
      <c r="B56" s="1268"/>
      <c r="C56" s="1257"/>
      <c r="D56" s="1254"/>
      <c r="F56" s="53" t="s">
        <v>117</v>
      </c>
      <c r="G56" s="252" t="e">
        <f>(G54/VLOOKUP(C54,#REF!,4,0))*100</f>
        <v>#REF!</v>
      </c>
      <c r="H56" s="252" t="e">
        <f>(H54/VLOOKUP($C54,#REF!,4,0))*100</f>
        <v>#REF!</v>
      </c>
      <c r="I56" s="1248"/>
      <c r="J56" s="252" t="e">
        <f>(J54/VLOOKUP($C54,#REF!,4,0))*100</f>
        <v>#REF!</v>
      </c>
      <c r="K56" s="1192"/>
      <c r="L56" s="252" t="e">
        <f>(L54/VLOOKUP($C54,#REF!,4,0))*100</f>
        <v>#REF!</v>
      </c>
      <c r="M56" s="1192"/>
      <c r="O56" s="53" t="s">
        <v>117</v>
      </c>
      <c r="P56" s="252" t="e">
        <f>(P54/VLOOKUP($C54,#REF!,4,0))*100</f>
        <v>#REF!</v>
      </c>
      <c r="Q56" s="252" t="e">
        <f>(Q54/VLOOKUP($C54,#REF!,4,0))*100</f>
        <v>#REF!</v>
      </c>
      <c r="R56" s="1186"/>
      <c r="T56" s="53" t="s">
        <v>117</v>
      </c>
      <c r="U56" s="1008" t="e">
        <f>(U54/VLOOKUP($C54,#REF!,4,0))*100</f>
        <v>#REF!</v>
      </c>
      <c r="V56" s="970"/>
      <c r="W56" s="252" t="e">
        <f>(W54/VLOOKUP($C54,#REF!,4,0))*100</f>
        <v>#REF!</v>
      </c>
      <c r="X56" s="1186"/>
      <c r="Y56" s="1186"/>
      <c r="AA56" s="1294"/>
      <c r="AD56" s="33" t="str">
        <f>C54&amp;F56</f>
        <v>Mexico% GDP</v>
      </c>
    </row>
    <row r="57" spans="1:30" s="997" customFormat="1" ht="320.14999999999998" customHeight="1">
      <c r="A57" s="1268">
        <v>1</v>
      </c>
      <c r="B57" s="1268" t="s">
        <v>861</v>
      </c>
      <c r="C57" s="1256" t="s">
        <v>15</v>
      </c>
      <c r="D57" s="1253" t="s">
        <v>571</v>
      </c>
      <c r="E57" s="996"/>
      <c r="F57" s="175" t="s">
        <v>115</v>
      </c>
      <c r="G57" s="186">
        <f>H57+J57</f>
        <v>3012</v>
      </c>
      <c r="H57" s="979">
        <v>634</v>
      </c>
      <c r="I57" s="1184" t="s">
        <v>975</v>
      </c>
      <c r="J57" s="186">
        <v>2378</v>
      </c>
      <c r="K57" s="1190" t="s">
        <v>1439</v>
      </c>
      <c r="L57" s="979">
        <v>460</v>
      </c>
      <c r="M57" s="1184" t="s">
        <v>805</v>
      </c>
      <c r="N57" s="996"/>
      <c r="O57" s="175" t="s">
        <v>115</v>
      </c>
      <c r="P57" s="186">
        <f>Q57+U57+W57</f>
        <v>1567</v>
      </c>
      <c r="Q57" s="265">
        <v>567</v>
      </c>
      <c r="R57" s="1193" t="s">
        <v>574</v>
      </c>
      <c r="S57" s="996"/>
      <c r="T57" s="175" t="s">
        <v>115</v>
      </c>
      <c r="U57" s="257">
        <v>500</v>
      </c>
      <c r="V57" s="1193" t="s">
        <v>978</v>
      </c>
      <c r="W57" s="971">
        <v>500</v>
      </c>
      <c r="X57" s="1190" t="s">
        <v>806</v>
      </c>
      <c r="Y57" s="968"/>
      <c r="Z57" s="996"/>
      <c r="AA57" s="968"/>
      <c r="AD57" s="33" t="str">
        <f>C57&amp;F57</f>
        <v>RussiaLC bn</v>
      </c>
    </row>
    <row r="58" spans="1:30" s="997" customFormat="1" ht="384.65" customHeight="1">
      <c r="A58" s="1268"/>
      <c r="B58" s="1268"/>
      <c r="C58" s="1256"/>
      <c r="D58" s="1253"/>
      <c r="F58" s="175" t="s">
        <v>116</v>
      </c>
      <c r="G58" s="251" t="e">
        <f>G57/VLOOKUP(C57,#REF!,8,0)</f>
        <v>#REF!</v>
      </c>
      <c r="H58" s="987" t="e">
        <f>H57/VLOOKUP(C57,#REF!,8,0)</f>
        <v>#REF!</v>
      </c>
      <c r="I58" s="1185"/>
      <c r="J58" s="418" t="e">
        <f>J57/VLOOKUP($C57,#REF!,8,0)</f>
        <v>#REF!</v>
      </c>
      <c r="K58" s="1191"/>
      <c r="L58" s="172" t="e">
        <f>L57/VLOOKUP($C57,#REF!,8,0)</f>
        <v>#REF!</v>
      </c>
      <c r="M58" s="1185"/>
      <c r="O58" s="175" t="s">
        <v>116</v>
      </c>
      <c r="P58" s="251" t="e">
        <f>P57/VLOOKUP($C57,#REF!,8,0)</f>
        <v>#REF!</v>
      </c>
      <c r="Q58" s="258" t="e">
        <f>Q57/VLOOKUP($C57,#REF!,8,0)</f>
        <v>#REF!</v>
      </c>
      <c r="R58" s="1196"/>
      <c r="T58" s="175" t="s">
        <v>116</v>
      </c>
      <c r="U58" s="258" t="e">
        <f>U57/VLOOKUP($C57,#REF!,8,0)</f>
        <v>#REF!</v>
      </c>
      <c r="V58" s="1196"/>
      <c r="W58" s="258" t="e">
        <f>W57/VLOOKUP($C57,#REF!,8,0)</f>
        <v>#REF!</v>
      </c>
      <c r="X58" s="1191"/>
      <c r="Y58" s="969"/>
      <c r="AA58" s="969"/>
      <c r="AD58" s="33" t="str">
        <f>C57&amp;F58</f>
        <v>RussiaUSD bn</v>
      </c>
    </row>
    <row r="59" spans="1:30" ht="245.15" customHeight="1">
      <c r="A59" s="1268"/>
      <c r="B59" s="1268"/>
      <c r="C59" s="1257"/>
      <c r="D59" s="1254"/>
      <c r="E59" s="35"/>
      <c r="F59" s="175" t="s">
        <v>117</v>
      </c>
      <c r="G59" s="258" t="e">
        <f>(G57/VLOOKUP(C57,#REF!,4,0))*100</f>
        <v>#REF!</v>
      </c>
      <c r="H59" s="495" t="e">
        <f>(H57/VLOOKUP(C57,#REF!,4,0))*100</f>
        <v>#REF!</v>
      </c>
      <c r="I59" s="1186"/>
      <c r="J59" s="173" t="e">
        <f>(J57/VLOOKUP($C57,#REF!,4,0))*100</f>
        <v>#REF!</v>
      </c>
      <c r="K59" s="1192"/>
      <c r="L59" s="173" t="e">
        <f>(L57/VLOOKUP($C57,#REF!,4,0))*100</f>
        <v>#REF!</v>
      </c>
      <c r="M59" s="1186"/>
      <c r="N59" s="35"/>
      <c r="O59" s="175" t="s">
        <v>117</v>
      </c>
      <c r="P59" s="252" t="e">
        <f>P57/VLOOKUP($C57,#REF!,4,0)*100</f>
        <v>#REF!</v>
      </c>
      <c r="Q59" s="252" t="e">
        <f>Q57/VLOOKUP($C57,#REF!,4,0)*100</f>
        <v>#REF!</v>
      </c>
      <c r="R59" s="1197"/>
      <c r="S59" s="35"/>
      <c r="T59" s="175" t="s">
        <v>117</v>
      </c>
      <c r="U59" s="252" t="e">
        <f>(U57/VLOOKUP($C57,#REF!,4,0))*100</f>
        <v>#REF!</v>
      </c>
      <c r="V59" s="1197"/>
      <c r="W59" s="252" t="e">
        <f>(W57/VLOOKUP($C57,#REF!,4,0))*100</f>
        <v>#REF!</v>
      </c>
      <c r="X59" s="1192"/>
      <c r="Y59" s="969"/>
      <c r="AA59" s="989"/>
      <c r="AD59" s="33" t="str">
        <f>C57&amp;F59</f>
        <v>Russia% GDP</v>
      </c>
    </row>
    <row r="60" spans="1:30" s="996" customFormat="1" ht="43.5" customHeight="1">
      <c r="A60" s="1268">
        <v>1</v>
      </c>
      <c r="B60" s="1268" t="s">
        <v>861</v>
      </c>
      <c r="C60" s="1256" t="s">
        <v>16</v>
      </c>
      <c r="D60" s="1253" t="s">
        <v>570</v>
      </c>
      <c r="F60" s="38" t="s">
        <v>115</v>
      </c>
      <c r="G60" s="255">
        <f>H60+J60</f>
        <v>57.6</v>
      </c>
      <c r="H60" s="979">
        <v>47</v>
      </c>
      <c r="I60" s="1193" t="s">
        <v>949</v>
      </c>
      <c r="J60" s="1006">
        <v>10.6</v>
      </c>
      <c r="K60" s="1184" t="s">
        <v>1262</v>
      </c>
      <c r="L60" s="981">
        <v>56</v>
      </c>
      <c r="M60" s="1193" t="s">
        <v>1342</v>
      </c>
      <c r="O60" s="38" t="s">
        <v>115</v>
      </c>
      <c r="P60" s="496">
        <f t="shared" ref="P60:P62" si="3">Q60+U60+W60</f>
        <v>22</v>
      </c>
      <c r="Q60" s="274">
        <v>22</v>
      </c>
      <c r="R60" s="1184" t="s">
        <v>739</v>
      </c>
      <c r="T60" s="38" t="s">
        <v>115</v>
      </c>
      <c r="U60" s="1006"/>
      <c r="V60" s="968"/>
      <c r="W60" s="968"/>
      <c r="X60" s="968"/>
      <c r="Y60" s="968"/>
      <c r="AA60" s="1225" t="s">
        <v>59</v>
      </c>
      <c r="AD60" s="33" t="str">
        <f>C60&amp;F60</f>
        <v>Saudi ArabiaLC bn</v>
      </c>
    </row>
    <row r="61" spans="1:30" s="997" customFormat="1" ht="58.5" customHeight="1">
      <c r="A61" s="1268"/>
      <c r="B61" s="1268"/>
      <c r="C61" s="1256"/>
      <c r="D61" s="1253"/>
      <c r="F61" s="175" t="s">
        <v>116</v>
      </c>
      <c r="G61" s="251" t="e">
        <f>G60/#REF!</f>
        <v>#REF!</v>
      </c>
      <c r="H61" s="251" t="e">
        <f>H60/VLOOKUP($C60,#REF!,8,0)</f>
        <v>#REF!</v>
      </c>
      <c r="I61" s="1196"/>
      <c r="J61" s="258" t="e">
        <f>J60/VLOOKUP($C60,#REF!,8,0)</f>
        <v>#REF!</v>
      </c>
      <c r="K61" s="1219"/>
      <c r="L61" s="251" t="e">
        <f>L60/VLOOKUP($C60,#REF!,8,0)</f>
        <v>#REF!</v>
      </c>
      <c r="M61" s="1196"/>
      <c r="O61" s="175" t="s">
        <v>116</v>
      </c>
      <c r="P61" s="412" t="e">
        <f t="shared" si="3"/>
        <v>#REF!</v>
      </c>
      <c r="Q61" s="269" t="e">
        <f>Q60/VLOOKUP(C60,#REF!,8,0)</f>
        <v>#REF!</v>
      </c>
      <c r="R61" s="1185"/>
      <c r="T61" s="175" t="s">
        <v>116</v>
      </c>
      <c r="U61" s="1007"/>
      <c r="V61" s="969"/>
      <c r="W61" s="969"/>
      <c r="X61" s="969"/>
      <c r="Y61" s="969"/>
      <c r="AA61" s="1226"/>
      <c r="AD61" s="33" t="str">
        <f>C60&amp;F61</f>
        <v>Saudi ArabiaUSD bn</v>
      </c>
    </row>
    <row r="62" spans="1:30" ht="58.5" customHeight="1">
      <c r="A62" s="1268"/>
      <c r="B62" s="1268"/>
      <c r="C62" s="1257"/>
      <c r="D62" s="1254"/>
      <c r="E62" s="12"/>
      <c r="F62" s="53" t="s">
        <v>117</v>
      </c>
      <c r="G62" s="252" t="e">
        <f>G60/#REF!*100</f>
        <v>#REF!</v>
      </c>
      <c r="H62" s="252" t="e">
        <f>(H60/VLOOKUP($C60,#REF!,4,0))*100</f>
        <v>#REF!</v>
      </c>
      <c r="I62" s="1197"/>
      <c r="J62" s="252" t="e">
        <f>(J60/VLOOKUP($C60,#REF!,4,0))*100</f>
        <v>#REF!</v>
      </c>
      <c r="K62" s="1186"/>
      <c r="L62" s="252" t="e">
        <f>(L60/VLOOKUP($C60,#REF!,4,0))*100</f>
        <v>#REF!</v>
      </c>
      <c r="M62" s="1197"/>
      <c r="N62" s="12"/>
      <c r="O62" s="53" t="s">
        <v>117</v>
      </c>
      <c r="P62" s="499" t="e">
        <f t="shared" si="3"/>
        <v>#REF!</v>
      </c>
      <c r="Q62" s="267" t="e">
        <f>(Q60/VLOOKUP(C60,#REF!,4,0))*100</f>
        <v>#REF!</v>
      </c>
      <c r="R62" s="1186"/>
      <c r="S62" s="12"/>
      <c r="T62" s="53" t="s">
        <v>117</v>
      </c>
      <c r="U62" s="252"/>
      <c r="V62" s="970"/>
      <c r="W62" s="970"/>
      <c r="X62" s="970"/>
      <c r="Y62" s="970"/>
      <c r="Z62" s="52"/>
      <c r="AA62" s="990"/>
      <c r="AD62" s="33" t="str">
        <f>C60&amp;F62</f>
        <v>Saudi Arabia% GDP</v>
      </c>
    </row>
    <row r="63" spans="1:30" s="997" customFormat="1" ht="143.5" customHeight="1">
      <c r="A63" s="1268">
        <v>1</v>
      </c>
      <c r="B63" s="1268" t="s">
        <v>861</v>
      </c>
      <c r="C63" s="1256" t="s">
        <v>17</v>
      </c>
      <c r="D63" s="1253" t="s">
        <v>570</v>
      </c>
      <c r="E63" s="996"/>
      <c r="F63" s="175" t="s">
        <v>115</v>
      </c>
      <c r="G63" s="255">
        <f>H63+J63</f>
        <v>266</v>
      </c>
      <c r="H63" s="255">
        <v>20</v>
      </c>
      <c r="I63" s="1184" t="s">
        <v>844</v>
      </c>
      <c r="J63" s="255">
        <f>220+26</f>
        <v>246</v>
      </c>
      <c r="K63" s="1190" t="s">
        <v>1438</v>
      </c>
      <c r="L63" s="255">
        <v>44</v>
      </c>
      <c r="M63" s="1190" t="s">
        <v>846</v>
      </c>
      <c r="N63" s="996"/>
      <c r="O63" s="175" t="s">
        <v>115</v>
      </c>
      <c r="P63" s="177">
        <f>SUM(Q63,U63,W63)</f>
        <v>203</v>
      </c>
      <c r="Q63" s="274"/>
      <c r="R63" s="1193"/>
      <c r="S63" s="996"/>
      <c r="T63" s="175" t="s">
        <v>115</v>
      </c>
      <c r="U63" s="255">
        <v>200</v>
      </c>
      <c r="V63" s="1190" t="s">
        <v>1351</v>
      </c>
      <c r="W63" s="986">
        <v>3</v>
      </c>
      <c r="X63" s="1190" t="s">
        <v>575</v>
      </c>
      <c r="Y63" s="968"/>
      <c r="Z63" s="996"/>
      <c r="AA63" s="968"/>
      <c r="AD63" s="33" t="str">
        <f>C63&amp;F63</f>
        <v>South AfricaLC bn</v>
      </c>
    </row>
    <row r="64" spans="1:30" s="997" customFormat="1" ht="97.5" customHeight="1">
      <c r="A64" s="1268"/>
      <c r="B64" s="1268"/>
      <c r="C64" s="1256"/>
      <c r="D64" s="1253"/>
      <c r="F64" s="175" t="s">
        <v>116</v>
      </c>
      <c r="G64" s="251" t="e">
        <f>G63/#REF!</f>
        <v>#REF!</v>
      </c>
      <c r="H64" s="258" t="e">
        <f>H63/VLOOKUP($C63,#REF!,8,0)</f>
        <v>#REF!</v>
      </c>
      <c r="I64" s="1185"/>
      <c r="J64" s="418" t="e">
        <f>J63/VLOOKUP($C63,#REF!,8,0)</f>
        <v>#REF!</v>
      </c>
      <c r="K64" s="1191"/>
      <c r="L64" s="172" t="e">
        <f>L63/VLOOKUP($C63,#REF!,8,0)</f>
        <v>#REF!</v>
      </c>
      <c r="M64" s="1191"/>
      <c r="O64" s="175" t="s">
        <v>116</v>
      </c>
      <c r="P64" s="118" t="e">
        <f>SUM(Q64,U64, W64)</f>
        <v>#REF!</v>
      </c>
      <c r="Q64" s="269"/>
      <c r="R64" s="1196"/>
      <c r="T64" s="175" t="s">
        <v>116</v>
      </c>
      <c r="U64" s="257" t="e">
        <f>U63/VLOOKUP(C63,#REF!,8,0)</f>
        <v>#REF!</v>
      </c>
      <c r="V64" s="1191"/>
      <c r="W64" s="987" t="e">
        <f>W63/VLOOKUP(C63,#REF!,8,0)</f>
        <v>#REF!</v>
      </c>
      <c r="X64" s="1191"/>
      <c r="Y64" s="969"/>
      <c r="AA64" s="969"/>
      <c r="AD64" s="33" t="str">
        <f>C63&amp;F64</f>
        <v>South AfricaUSD bn</v>
      </c>
    </row>
    <row r="65" spans="1:30" ht="100.5" customHeight="1">
      <c r="A65" s="1268"/>
      <c r="B65" s="1268"/>
      <c r="C65" s="1257"/>
      <c r="D65" s="1254"/>
      <c r="E65" s="12"/>
      <c r="F65" s="53" t="s">
        <v>117</v>
      </c>
      <c r="G65" s="252" t="e">
        <f>G63/#REF!*100</f>
        <v>#REF!</v>
      </c>
      <c r="H65" s="252" t="e">
        <f>(H63/VLOOKUP($C63,#REF!,4,0))*100</f>
        <v>#REF!</v>
      </c>
      <c r="I65" s="1186"/>
      <c r="J65" s="173" t="e">
        <f>(J63/VLOOKUP($C63,#REF!,4,0))*100</f>
        <v>#REF!</v>
      </c>
      <c r="K65" s="1192"/>
      <c r="L65" s="173" t="e">
        <f>(L63/VLOOKUP($C63,#REF!,4,0))*100</f>
        <v>#REF!</v>
      </c>
      <c r="M65" s="1192"/>
      <c r="N65" s="12"/>
      <c r="O65" s="53" t="s">
        <v>117</v>
      </c>
      <c r="P65" s="17" t="e">
        <f>SUM(Q65,U65, W64)</f>
        <v>#REF!</v>
      </c>
      <c r="Q65" s="267"/>
      <c r="R65" s="1197"/>
      <c r="S65" s="12"/>
      <c r="T65" s="53" t="s">
        <v>117</v>
      </c>
      <c r="U65" s="252" t="e">
        <f>(U63/VLOOKUP(C63,#REF!,4,0))*100</f>
        <v>#REF!</v>
      </c>
      <c r="V65" s="1192"/>
      <c r="W65" s="991" t="e">
        <f>(W63/VLOOKUP(C63,#REF!,4,0))*100</f>
        <v>#REF!</v>
      </c>
      <c r="X65" s="1192"/>
      <c r="Y65" s="970"/>
      <c r="Z65" s="52"/>
      <c r="AA65" s="990"/>
      <c r="AD65" s="33" t="str">
        <f>C63&amp;F65</f>
        <v>South Africa% GDP</v>
      </c>
    </row>
    <row r="66" spans="1:30" s="37" customFormat="1" ht="92.15" customHeight="1">
      <c r="A66" s="1268">
        <v>1</v>
      </c>
      <c r="B66" s="1268" t="s">
        <v>861</v>
      </c>
      <c r="C66" s="1256" t="s">
        <v>18</v>
      </c>
      <c r="D66" s="1253" t="s">
        <v>572</v>
      </c>
      <c r="E66" s="14"/>
      <c r="F66" s="175" t="s">
        <v>115</v>
      </c>
      <c r="G66" s="255">
        <v>53.6</v>
      </c>
      <c r="H66" s="979">
        <v>14.2</v>
      </c>
      <c r="I66" s="1190" t="s">
        <v>1305</v>
      </c>
      <c r="J66" s="119">
        <f>G66-H66</f>
        <v>39.400000000000006</v>
      </c>
      <c r="K66" s="1190" t="s">
        <v>1306</v>
      </c>
      <c r="L66" s="119">
        <v>69.5</v>
      </c>
      <c r="M66" s="1190" t="s">
        <v>1307</v>
      </c>
      <c r="N66" s="14"/>
      <c r="O66" s="175" t="s">
        <v>115</v>
      </c>
      <c r="P66" s="177">
        <f>Q66+U66+W66</f>
        <v>450.6</v>
      </c>
      <c r="Q66" s="274">
        <v>21</v>
      </c>
      <c r="R66" s="1193" t="s">
        <v>848</v>
      </c>
      <c r="S66" s="14"/>
      <c r="T66" s="175" t="s">
        <v>115</v>
      </c>
      <c r="U66" s="255">
        <v>306</v>
      </c>
      <c r="V66" s="1184" t="s">
        <v>1337</v>
      </c>
      <c r="W66" s="177">
        <v>123.6</v>
      </c>
      <c r="X66" s="1193" t="s">
        <v>1005</v>
      </c>
      <c r="Y66" s="968"/>
      <c r="Z66" s="14"/>
      <c r="AA66" s="968"/>
      <c r="AD66" s="33" t="str">
        <f>C66&amp;F66</f>
        <v>TurkeyLC bn</v>
      </c>
    </row>
    <row r="67" spans="1:30" s="37" customFormat="1" ht="106" customHeight="1">
      <c r="A67" s="1268"/>
      <c r="B67" s="1268"/>
      <c r="C67" s="1256"/>
      <c r="D67" s="1253"/>
      <c r="F67" s="175" t="s">
        <v>116</v>
      </c>
      <c r="G67" s="258" t="e">
        <f>G66/VLOOKUP(C66,#REF!,8,0)</f>
        <v>#REF!</v>
      </c>
      <c r="H67" s="987" t="e">
        <f>H66/VLOOKUP($C66,#REF!,8,0)</f>
        <v>#REF!</v>
      </c>
      <c r="I67" s="1191"/>
      <c r="J67" s="172" t="e">
        <f>J66/VLOOKUP($C66,#REF!,8,0)</f>
        <v>#REF!</v>
      </c>
      <c r="K67" s="1191"/>
      <c r="L67" s="172" t="e">
        <f>L66/VLOOKUP($C66,#REF!,8,0)</f>
        <v>#REF!</v>
      </c>
      <c r="M67" s="1191"/>
      <c r="O67" s="175" t="s">
        <v>116</v>
      </c>
      <c r="P67" s="418" t="e">
        <f>P66/VLOOKUP($C66,#REF!,8,0)</f>
        <v>#REF!</v>
      </c>
      <c r="Q67" s="172" t="e">
        <f>Q66/VLOOKUP($C66,#REF!,8,0)</f>
        <v>#REF!</v>
      </c>
      <c r="R67" s="1196"/>
      <c r="T67" s="175" t="s">
        <v>116</v>
      </c>
      <c r="U67" s="251" t="e">
        <f>U66/VLOOKUP(C66,#REF!,8,0)</f>
        <v>#REF!</v>
      </c>
      <c r="V67" s="1185"/>
      <c r="W67" s="251" t="e">
        <f>W66/VLOOKUP(C66,#REF!,8,0)</f>
        <v>#REF!</v>
      </c>
      <c r="X67" s="1196"/>
      <c r="Y67" s="969"/>
      <c r="AA67" s="969"/>
      <c r="AD67" s="33" t="str">
        <f>C66&amp;F67</f>
        <v>TurkeyUSD bn</v>
      </c>
    </row>
    <row r="68" spans="1:30" ht="88" customHeight="1">
      <c r="A68" s="1268"/>
      <c r="B68" s="1268"/>
      <c r="C68" s="1257"/>
      <c r="D68" s="1254"/>
      <c r="E68" s="12"/>
      <c r="F68" s="53" t="s">
        <v>117</v>
      </c>
      <c r="G68" s="252" t="e">
        <f>(G66/VLOOKUP(C66,#REF!,4,0))*100</f>
        <v>#REF!</v>
      </c>
      <c r="H68" s="716" t="e">
        <f>(H66/VLOOKUP($C66,#REF!,4,0))*100</f>
        <v>#REF!</v>
      </c>
      <c r="I68" s="1192"/>
      <c r="J68" s="173" t="e">
        <f>(J66/VLOOKUP($C66,#REF!,4,0))*100</f>
        <v>#REF!</v>
      </c>
      <c r="K68" s="1192"/>
      <c r="L68" s="173" t="e">
        <f>(L66/VLOOKUP($C66,#REF!,4,0))*100</f>
        <v>#REF!</v>
      </c>
      <c r="M68" s="1192"/>
      <c r="N68" s="12"/>
      <c r="O68" s="53" t="s">
        <v>117</v>
      </c>
      <c r="P68" s="173" t="e">
        <f>(P66/VLOOKUP($C66,#REF!,4,0))*100</f>
        <v>#REF!</v>
      </c>
      <c r="Q68" s="173" t="e">
        <f>(Q66/VLOOKUP($C66,#REF!,4,0))*100</f>
        <v>#REF!</v>
      </c>
      <c r="R68" s="1197"/>
      <c r="S68" s="12"/>
      <c r="T68" s="53" t="s">
        <v>117</v>
      </c>
      <c r="U68" s="252" t="e">
        <f>(U66/VLOOKUP(C66,#REF!,4,0))*100</f>
        <v>#REF!</v>
      </c>
      <c r="V68" s="1186"/>
      <c r="W68" s="252" t="e">
        <f>(W66/VLOOKUP(C66,#REF!,4,0))*100</f>
        <v>#REF!</v>
      </c>
      <c r="X68" s="1197"/>
      <c r="Y68" s="970"/>
      <c r="Z68" s="52"/>
      <c r="AA68" s="990"/>
      <c r="AD68" s="33" t="str">
        <f>C66&amp;F68</f>
        <v>Turkey% GDP</v>
      </c>
    </row>
    <row r="69" spans="1:30" ht="109.5" customHeight="1">
      <c r="A69" s="1268">
        <v>0</v>
      </c>
      <c r="B69" s="1268" t="s">
        <v>858</v>
      </c>
      <c r="C69" s="1256" t="s">
        <v>547</v>
      </c>
      <c r="D69" s="1253" t="s">
        <v>570</v>
      </c>
      <c r="F69" s="175" t="s">
        <v>115</v>
      </c>
      <c r="G69" s="251">
        <f>H69+J69</f>
        <v>32.1</v>
      </c>
      <c r="H69" s="258">
        <v>8.1</v>
      </c>
      <c r="I69" s="1318" t="s">
        <v>1404</v>
      </c>
      <c r="J69" s="103">
        <v>24</v>
      </c>
      <c r="K69" s="1190" t="s">
        <v>1405</v>
      </c>
      <c r="L69" s="103">
        <v>13.8</v>
      </c>
      <c r="M69" s="1184" t="s">
        <v>1340</v>
      </c>
      <c r="O69" s="175" t="s">
        <v>115</v>
      </c>
      <c r="P69" s="496">
        <f t="shared" ref="P69:P80" si="4">Q69+U69+W69</f>
        <v>53</v>
      </c>
      <c r="Q69" s="269">
        <v>1</v>
      </c>
      <c r="R69" s="1190" t="s">
        <v>1341</v>
      </c>
      <c r="T69" s="175" t="s">
        <v>115</v>
      </c>
      <c r="U69" s="251">
        <v>52</v>
      </c>
      <c r="V69" s="1184" t="s">
        <v>1406</v>
      </c>
      <c r="W69" s="58"/>
      <c r="X69" s="58"/>
      <c r="AD69" s="33" t="str">
        <f>C69&amp;F69</f>
        <v>BelgiumLC bn</v>
      </c>
    </row>
    <row r="70" spans="1:30" ht="185.15" customHeight="1">
      <c r="A70" s="1268"/>
      <c r="B70" s="1268"/>
      <c r="C70" s="1256"/>
      <c r="D70" s="1253"/>
      <c r="F70" s="175" t="s">
        <v>116</v>
      </c>
      <c r="G70" s="251" t="e">
        <f>G69/VLOOKUP($C69,#REF!,8,0)</f>
        <v>#REF!</v>
      </c>
      <c r="H70" s="258" t="e">
        <f>H69/VLOOKUP($C69,#REF!,8,0)</f>
        <v>#REF!</v>
      </c>
      <c r="I70" s="1185"/>
      <c r="J70" s="251" t="e">
        <f>J69/VLOOKUP($C69,#REF!,8,0)</f>
        <v>#REF!</v>
      </c>
      <c r="K70" s="1238"/>
      <c r="L70" s="251" t="e">
        <f>L69/VLOOKUP($C69,#REF!,8,0)</f>
        <v>#REF!</v>
      </c>
      <c r="M70" s="1219"/>
      <c r="O70" s="175" t="s">
        <v>116</v>
      </c>
      <c r="P70" s="497" t="e">
        <f t="shared" si="4"/>
        <v>#REF!</v>
      </c>
      <c r="Q70" s="258" t="e">
        <f>Q69/VLOOKUP($C69,#REF!,8,0)</f>
        <v>#REF!</v>
      </c>
      <c r="R70" s="1238"/>
      <c r="T70" s="175" t="s">
        <v>116</v>
      </c>
      <c r="U70" s="251" t="e">
        <f>U69/VLOOKUP($C69,#REF!,8,0)</f>
        <v>#REF!</v>
      </c>
      <c r="V70" s="1219"/>
      <c r="W70" s="58"/>
      <c r="X70" s="58"/>
      <c r="AD70" s="33" t="str">
        <f>C69&amp;F70</f>
        <v>BelgiumUSD bn</v>
      </c>
    </row>
    <row r="71" spans="1:30" ht="201.65" customHeight="1">
      <c r="A71" s="1268"/>
      <c r="B71" s="1268"/>
      <c r="C71" s="1257"/>
      <c r="D71" s="1254"/>
      <c r="F71" s="53" t="s">
        <v>117</v>
      </c>
      <c r="G71" s="252" t="e">
        <f>G69/VLOOKUP($C69,#REF!,4,0)*100</f>
        <v>#REF!</v>
      </c>
      <c r="H71" s="252" t="e">
        <f>H69/VLOOKUP($C69,#REF!,4,0)*100</f>
        <v>#REF!</v>
      </c>
      <c r="I71" s="1186"/>
      <c r="J71" s="252" t="e">
        <f>J69/VLOOKUP($C69,#REF!,4,0)*100</f>
        <v>#REF!</v>
      </c>
      <c r="K71" s="1192"/>
      <c r="L71" s="252" t="e">
        <f>L69/VLOOKUP($C69,#REF!,4,0)*100</f>
        <v>#REF!</v>
      </c>
      <c r="M71" s="1186"/>
      <c r="O71" s="53" t="s">
        <v>117</v>
      </c>
      <c r="P71" s="499" t="e">
        <f t="shared" si="4"/>
        <v>#REF!</v>
      </c>
      <c r="Q71" s="252" t="e">
        <f>Q69/VLOOKUP($C69,#REF!,4,0)*100</f>
        <v>#REF!</v>
      </c>
      <c r="R71" s="1192"/>
      <c r="T71" s="53" t="s">
        <v>117</v>
      </c>
      <c r="U71" s="252" t="e">
        <f>U69/VLOOKUP($C69,#REF!,4,0)*100</f>
        <v>#REF!</v>
      </c>
      <c r="V71" s="1186"/>
      <c r="W71" s="58"/>
      <c r="X71" s="58"/>
      <c r="AD71" s="33" t="str">
        <f>C69&amp;F71</f>
        <v>Belgium% GDP</v>
      </c>
    </row>
    <row r="72" spans="1:30" ht="272.5" customHeight="1">
      <c r="A72" s="1268">
        <v>0</v>
      </c>
      <c r="B72" s="1268" t="s">
        <v>858</v>
      </c>
      <c r="C72" s="1256" t="s">
        <v>542</v>
      </c>
      <c r="D72" s="1253" t="s">
        <v>570</v>
      </c>
      <c r="E72" s="15"/>
      <c r="F72" s="175" t="s">
        <v>115</v>
      </c>
      <c r="G72" s="255">
        <f>H72+J72</f>
        <v>304.39999999999998</v>
      </c>
      <c r="H72" s="877">
        <v>66.599999999999994</v>
      </c>
      <c r="I72" s="1258" t="s">
        <v>1402</v>
      </c>
      <c r="J72" s="876">
        <v>237.8</v>
      </c>
      <c r="K72" s="1190" t="s">
        <v>1403</v>
      </c>
      <c r="L72" s="876">
        <v>36.299999999999997</v>
      </c>
      <c r="M72" s="1258" t="s">
        <v>1372</v>
      </c>
      <c r="N72" s="14"/>
      <c r="O72" s="175" t="s">
        <v>115</v>
      </c>
      <c r="P72" s="496">
        <f t="shared" si="4"/>
        <v>865</v>
      </c>
      <c r="Q72" s="276">
        <v>1</v>
      </c>
      <c r="R72" s="1190" t="s">
        <v>1373</v>
      </c>
      <c r="S72" s="14"/>
      <c r="T72" s="175" t="s">
        <v>115</v>
      </c>
      <c r="U72" s="255">
        <v>864</v>
      </c>
      <c r="V72" s="1193" t="s">
        <v>1374</v>
      </c>
      <c r="W72" s="255"/>
      <c r="X72" s="1184"/>
      <c r="AD72" s="33" t="str">
        <f>C72&amp;F72</f>
        <v>Czech RepublicLC bn</v>
      </c>
    </row>
    <row r="73" spans="1:30" ht="194.5" customHeight="1">
      <c r="A73" s="1268"/>
      <c r="B73" s="1268"/>
      <c r="C73" s="1256"/>
      <c r="D73" s="1253"/>
      <c r="F73" s="175" t="s">
        <v>116</v>
      </c>
      <c r="G73" s="251" t="e">
        <f>G72/VLOOKUP($C72,#REF!,8,0)</f>
        <v>#REF!</v>
      </c>
      <c r="H73" s="987" t="e">
        <f>H72/VLOOKUP($C72,#REF!,8,0)</f>
        <v>#REF!</v>
      </c>
      <c r="I73" s="1238"/>
      <c r="J73" s="258" t="e">
        <f>J72/VLOOKUP($C72,#REF!,8,0)</f>
        <v>#REF!</v>
      </c>
      <c r="K73" s="1238"/>
      <c r="L73" s="258" t="e">
        <f>L72/VLOOKUP($C72,#REF!,8,0)</f>
        <v>#REF!</v>
      </c>
      <c r="M73" s="1238"/>
      <c r="N73" s="37"/>
      <c r="O73" s="175" t="s">
        <v>116</v>
      </c>
      <c r="P73" s="497" t="e">
        <f t="shared" si="4"/>
        <v>#REF!</v>
      </c>
      <c r="Q73" s="277" t="e">
        <f>Q72/VLOOKUP($C72,#REF!,8,0)</f>
        <v>#REF!</v>
      </c>
      <c r="R73" s="1238"/>
      <c r="S73" s="37"/>
      <c r="T73" s="175" t="s">
        <v>116</v>
      </c>
      <c r="U73" s="251" t="e">
        <f>U72/VLOOKUP($C72,#REF!,8,0)</f>
        <v>#REF!</v>
      </c>
      <c r="V73" s="1196"/>
      <c r="W73" s="258"/>
      <c r="X73" s="1185"/>
      <c r="AD73" s="33" t="str">
        <f>C72&amp;F73</f>
        <v>Czech RepublicUSD bn</v>
      </c>
    </row>
    <row r="74" spans="1:30" ht="263.5" customHeight="1">
      <c r="A74" s="1268"/>
      <c r="B74" s="1268"/>
      <c r="C74" s="1257"/>
      <c r="D74" s="1254"/>
      <c r="F74" s="53" t="s">
        <v>117</v>
      </c>
      <c r="G74" s="252" t="e">
        <f>G72/VLOOKUP($C72,#REF!,4,0)*100</f>
        <v>#REF!</v>
      </c>
      <c r="H74" s="1008" t="e">
        <f>H72/VLOOKUP($C72,#REF!,4,0)*100</f>
        <v>#REF!</v>
      </c>
      <c r="I74" s="1192"/>
      <c r="J74" s="252" t="e">
        <f>J72/VLOOKUP($C72,#REF!,4,0)*100</f>
        <v>#REF!</v>
      </c>
      <c r="K74" s="1192"/>
      <c r="L74" s="252" t="e">
        <f>L72/VLOOKUP($C72,#REF!,4,0)*100</f>
        <v>#REF!</v>
      </c>
      <c r="M74" s="1192"/>
      <c r="N74" s="12"/>
      <c r="O74" s="53" t="s">
        <v>117</v>
      </c>
      <c r="P74" s="499" t="e">
        <f t="shared" si="4"/>
        <v>#REF!</v>
      </c>
      <c r="Q74" s="267" t="e">
        <f>Q72/VLOOKUP($C72,#REF!,4,0)*100</f>
        <v>#REF!</v>
      </c>
      <c r="R74" s="1192"/>
      <c r="S74" s="12"/>
      <c r="T74" s="53" t="s">
        <v>117</v>
      </c>
      <c r="U74" s="252" t="e">
        <f>U72/VLOOKUP($C72,#REF!,4,0)*100</f>
        <v>#REF!</v>
      </c>
      <c r="V74" s="1197"/>
      <c r="W74" s="252"/>
      <c r="X74" s="1186"/>
      <c r="AD74" s="33" t="str">
        <f>C72&amp;F74</f>
        <v>Czech Republic% GDP</v>
      </c>
    </row>
    <row r="75" spans="1:30" s="997" customFormat="1" ht="124.5" customHeight="1">
      <c r="A75" s="1268">
        <v>0</v>
      </c>
      <c r="B75" s="1268" t="s">
        <v>858</v>
      </c>
      <c r="C75" s="1256" t="s">
        <v>19</v>
      </c>
      <c r="D75" s="1253" t="s">
        <v>570</v>
      </c>
      <c r="E75" s="996"/>
      <c r="F75" s="175" t="s">
        <v>115</v>
      </c>
      <c r="G75" s="1007">
        <f>SUM(H75,J75)</f>
        <v>40.299999999999997</v>
      </c>
      <c r="H75" s="980">
        <v>0.8</v>
      </c>
      <c r="I75" s="1221" t="s">
        <v>1352</v>
      </c>
      <c r="J75" s="118">
        <v>39.5</v>
      </c>
      <c r="K75" s="1190" t="s">
        <v>1449</v>
      </c>
      <c r="L75" s="190">
        <v>175.4</v>
      </c>
      <c r="M75" s="1219" t="s">
        <v>1141</v>
      </c>
      <c r="O75" s="175" t="s">
        <v>115</v>
      </c>
      <c r="P75" s="496">
        <f t="shared" si="4"/>
        <v>96.995999999999995</v>
      </c>
      <c r="Q75" s="265">
        <v>57.082999999999998</v>
      </c>
      <c r="R75" s="1238" t="s">
        <v>1450</v>
      </c>
      <c r="T75" s="175" t="s">
        <v>115</v>
      </c>
      <c r="U75" s="257">
        <v>39.912999999999997</v>
      </c>
      <c r="V75" s="1238" t="s">
        <v>1451</v>
      </c>
      <c r="W75" s="969"/>
      <c r="X75" s="969"/>
      <c r="Y75" s="1185" t="s">
        <v>1289</v>
      </c>
      <c r="AA75" s="517" t="s">
        <v>611</v>
      </c>
      <c r="AD75" s="33" t="str">
        <f>C75&amp;F75</f>
        <v>DenmarkLC bn</v>
      </c>
    </row>
    <row r="76" spans="1:30" ht="104.5" customHeight="1">
      <c r="A76" s="1268"/>
      <c r="B76" s="1268"/>
      <c r="C76" s="1256"/>
      <c r="D76" s="1253"/>
      <c r="E76" s="35"/>
      <c r="F76" s="175" t="s">
        <v>116</v>
      </c>
      <c r="G76" s="251" t="e">
        <f>G75/VLOOKUP(C75,#REF!,8,0)</f>
        <v>#REF!</v>
      </c>
      <c r="H76" s="495" t="e">
        <f>H75/VLOOKUP(C75,#REF!,8,0)</f>
        <v>#REF!</v>
      </c>
      <c r="I76" s="1221"/>
      <c r="J76" s="251" t="e">
        <f>J75/VLOOKUP($C75,#REF!,8,0)</f>
        <v>#REF!</v>
      </c>
      <c r="K76" s="1238"/>
      <c r="L76" s="251" t="e">
        <f>L75/VLOOKUP($C75,#REF!,8,0)</f>
        <v>#REF!</v>
      </c>
      <c r="M76" s="1219"/>
      <c r="N76" s="35"/>
      <c r="O76" s="175" t="s">
        <v>116</v>
      </c>
      <c r="P76" s="497" t="e">
        <f t="shared" si="4"/>
        <v>#REF!</v>
      </c>
      <c r="Q76" s="269" t="e">
        <f>Q75/VLOOKUP(C75,#REF!,8,0)</f>
        <v>#REF!</v>
      </c>
      <c r="R76" s="1238"/>
      <c r="S76" s="35"/>
      <c r="T76" s="175" t="s">
        <v>116</v>
      </c>
      <c r="U76" s="251" t="e">
        <f>U75/VLOOKUP(C75,#REF!,8,0)</f>
        <v>#REF!</v>
      </c>
      <c r="V76" s="1219"/>
      <c r="W76" s="969"/>
      <c r="X76" s="969"/>
      <c r="Y76" s="1185"/>
      <c r="AA76" s="517" t="s">
        <v>612</v>
      </c>
      <c r="AD76" s="33" t="str">
        <f>C75&amp;F76</f>
        <v>DenmarkUSD bn</v>
      </c>
    </row>
    <row r="77" spans="1:30" ht="128.5" customHeight="1">
      <c r="A77" s="1268"/>
      <c r="B77" s="1268"/>
      <c r="C77" s="1257"/>
      <c r="D77" s="1254"/>
      <c r="E77" s="35"/>
      <c r="F77" s="175" t="s">
        <v>117</v>
      </c>
      <c r="G77" s="258" t="e">
        <f>(G75/VLOOKUP(C75,#REF!,4,0))*100</f>
        <v>#REF!</v>
      </c>
      <c r="H77" s="495" t="e">
        <f>(H75/VLOOKUP(C75,#REF!,4,0))*100</f>
        <v>#REF!</v>
      </c>
      <c r="I77" s="1222"/>
      <c r="J77" s="252" t="e">
        <f>J75/VLOOKUP($C75,#REF!,4,0)*100</f>
        <v>#REF!</v>
      </c>
      <c r="K77" s="1192"/>
      <c r="L77" s="252" t="e">
        <f>L75/VLOOKUP($C75,#REF!,4,0)*100</f>
        <v>#REF!</v>
      </c>
      <c r="M77" s="1186"/>
      <c r="N77" s="35"/>
      <c r="O77" s="175" t="s">
        <v>117</v>
      </c>
      <c r="P77" s="499" t="e">
        <f t="shared" si="4"/>
        <v>#REF!</v>
      </c>
      <c r="Q77" s="269" t="e">
        <f>(Q75/VLOOKUP(C75,#REF!,4,0))*100</f>
        <v>#REF!</v>
      </c>
      <c r="R77" s="1192"/>
      <c r="S77" s="35"/>
      <c r="T77" s="175" t="s">
        <v>117</v>
      </c>
      <c r="U77" s="258" t="e">
        <f>(U75/VLOOKUP(C75,#REF!,4,0))*100</f>
        <v>#REF!</v>
      </c>
      <c r="V77" s="1186"/>
      <c r="W77" s="969"/>
      <c r="X77" s="969"/>
      <c r="Y77" s="1186"/>
      <c r="AA77" s="517" t="s">
        <v>613</v>
      </c>
      <c r="AD77" s="33" t="str">
        <f>C75&amp;F77</f>
        <v>Denmark% GDP</v>
      </c>
    </row>
    <row r="78" spans="1:30" s="15" customFormat="1" ht="104.5" customHeight="1">
      <c r="A78" s="1268">
        <v>0</v>
      </c>
      <c r="B78" s="1268" t="s">
        <v>858</v>
      </c>
      <c r="C78" s="1256" t="s">
        <v>20</v>
      </c>
      <c r="D78" s="1253" t="s">
        <v>570</v>
      </c>
      <c r="F78" s="38" t="s">
        <v>115</v>
      </c>
      <c r="G78" s="1006">
        <f>H78+J78</f>
        <v>6.9499999999999993</v>
      </c>
      <c r="H78" s="986">
        <v>1.85</v>
      </c>
      <c r="I78" s="1184" t="s">
        <v>1353</v>
      </c>
      <c r="J78" s="516">
        <f>4.05+1.05</f>
        <v>5.0999999999999996</v>
      </c>
      <c r="K78" s="1184" t="s">
        <v>1354</v>
      </c>
      <c r="L78" s="986">
        <v>4.25</v>
      </c>
      <c r="M78" s="1220" t="s">
        <v>1355</v>
      </c>
      <c r="O78" s="38" t="s">
        <v>115</v>
      </c>
      <c r="P78" s="496">
        <f t="shared" si="4"/>
        <v>16.32</v>
      </c>
      <c r="Q78" s="268">
        <f>0.85+0.5+1.07</f>
        <v>2.42</v>
      </c>
      <c r="R78" s="1190" t="s">
        <v>1356</v>
      </c>
      <c r="T78" s="38" t="s">
        <v>115</v>
      </c>
      <c r="U78" s="105">
        <v>12.9</v>
      </c>
      <c r="V78" s="1184" t="s">
        <v>1357</v>
      </c>
      <c r="W78" s="986">
        <v>1</v>
      </c>
      <c r="X78" s="1184" t="s">
        <v>230</v>
      </c>
      <c r="Y78" s="1184" t="s">
        <v>233</v>
      </c>
      <c r="AA78" s="156" t="s">
        <v>46</v>
      </c>
      <c r="AD78" s="33" t="str">
        <f>C78&amp;F78</f>
        <v>FinlandLC bn</v>
      </c>
    </row>
    <row r="79" spans="1:30" s="55" customFormat="1" ht="164.5" customHeight="1">
      <c r="A79" s="1268"/>
      <c r="B79" s="1268"/>
      <c r="C79" s="1256"/>
      <c r="D79" s="1253"/>
      <c r="F79" s="175" t="s">
        <v>116</v>
      </c>
      <c r="G79" s="258" t="e">
        <f>G78/VLOOKUP(C78,#REF!,8,0)</f>
        <v>#REF!</v>
      </c>
      <c r="H79" s="258" t="e">
        <f>H78/VLOOKUP($C78,#REF!,8,0)</f>
        <v>#REF!</v>
      </c>
      <c r="I79" s="1308"/>
      <c r="J79" s="258" t="e">
        <f>J78/VLOOKUP($C78,#REF!,8,0)</f>
        <v>#REF!</v>
      </c>
      <c r="K79" s="1219"/>
      <c r="L79" s="987" t="e">
        <f>L78/VLOOKUP($C78,#REF!,8,0)</f>
        <v>#REF!</v>
      </c>
      <c r="M79" s="1287"/>
      <c r="O79" s="175" t="s">
        <v>116</v>
      </c>
      <c r="P79" s="497" t="e">
        <f t="shared" si="4"/>
        <v>#REF!</v>
      </c>
      <c r="Q79" s="269" t="e">
        <f>Q78/VLOOKUP(C78,#REF!,8,0)</f>
        <v>#REF!</v>
      </c>
      <c r="R79" s="1238"/>
      <c r="T79" s="175" t="s">
        <v>116</v>
      </c>
      <c r="U79" s="251" t="e">
        <f>U78/VLOOKUP(C78,#REF!,8,0)</f>
        <v>#REF!</v>
      </c>
      <c r="V79" s="1219"/>
      <c r="W79" s="987" t="e">
        <f>W78/VLOOKUP($C78,#REF!,8,0)</f>
        <v>#REF!</v>
      </c>
      <c r="X79" s="1219"/>
      <c r="Y79" s="1186"/>
      <c r="AA79" s="157"/>
      <c r="AD79" s="33" t="str">
        <f>C78&amp;F79</f>
        <v>FinlandUSD bn</v>
      </c>
    </row>
    <row r="80" spans="1:30" ht="206.5" customHeight="1">
      <c r="A80" s="1268"/>
      <c r="B80" s="1268"/>
      <c r="C80" s="1257"/>
      <c r="D80" s="1254"/>
      <c r="E80" s="12"/>
      <c r="F80" s="53" t="s">
        <v>117</v>
      </c>
      <c r="G80" s="252" t="e">
        <f>(G78/VLOOKUP(C78,#REF!,4,0))*100</f>
        <v>#REF!</v>
      </c>
      <c r="H80" s="252" t="e">
        <f>(H78/VLOOKUP($C78,#REF!,4,0))*100</f>
        <v>#REF!</v>
      </c>
      <c r="I80" s="1204"/>
      <c r="J80" s="252" t="e">
        <f>J78/VLOOKUP($C78,#REF!,4,0)*100</f>
        <v>#REF!</v>
      </c>
      <c r="K80" s="1186"/>
      <c r="L80" s="991" t="e">
        <f>(L78/VLOOKUP($C78,#REF!,4,0))*100</f>
        <v>#REF!</v>
      </c>
      <c r="M80" s="1222"/>
      <c r="N80" s="12"/>
      <c r="O80" s="53" t="s">
        <v>117</v>
      </c>
      <c r="P80" s="499" t="e">
        <f t="shared" si="4"/>
        <v>#REF!</v>
      </c>
      <c r="Q80" s="267" t="e">
        <f>(Q78/VLOOKUP(C78,#REF!,4,0))*100</f>
        <v>#REF!</v>
      </c>
      <c r="R80" s="1192"/>
      <c r="S80" s="12"/>
      <c r="T80" s="53" t="s">
        <v>117</v>
      </c>
      <c r="U80" s="252" t="e">
        <f>(U78/VLOOKUP(C78,#REF!,4,0))*100</f>
        <v>#REF!</v>
      </c>
      <c r="V80" s="1186"/>
      <c r="W80" s="991" t="e">
        <f>(W78/VLOOKUP($C78,#REF!,4,0))*100</f>
        <v>#REF!</v>
      </c>
      <c r="X80" s="1186"/>
      <c r="Y80" s="985" t="s">
        <v>234</v>
      </c>
      <c r="Z80" s="52"/>
      <c r="AA80" s="158"/>
      <c r="AD80" s="33" t="str">
        <f>C78&amp;F80</f>
        <v>Finland% GDP</v>
      </c>
    </row>
    <row r="81" spans="1:30" ht="134.5" customHeight="1">
      <c r="A81" s="1268">
        <v>0</v>
      </c>
      <c r="B81" s="1268" t="s">
        <v>858</v>
      </c>
      <c r="C81" s="1256" t="s">
        <v>184</v>
      </c>
      <c r="D81" s="1252" t="s">
        <v>570</v>
      </c>
      <c r="E81" s="14"/>
      <c r="F81" s="38" t="s">
        <v>115</v>
      </c>
      <c r="G81" s="255">
        <v>35.6</v>
      </c>
      <c r="H81" s="258">
        <v>5.9</v>
      </c>
      <c r="I81" s="1193" t="s">
        <v>599</v>
      </c>
      <c r="J81" s="177">
        <f>G81-H81</f>
        <v>29.700000000000003</v>
      </c>
      <c r="K81" s="1184" t="s">
        <v>1304</v>
      </c>
      <c r="L81" s="177">
        <v>12.6</v>
      </c>
      <c r="M81" s="1193" t="s">
        <v>1358</v>
      </c>
      <c r="N81" s="14"/>
      <c r="O81" s="175" t="s">
        <v>115</v>
      </c>
      <c r="P81" s="177">
        <f>Q81+U81+W81</f>
        <v>65</v>
      </c>
      <c r="Q81" s="276"/>
      <c r="R81" s="1184"/>
      <c r="S81" s="14"/>
      <c r="T81" s="175" t="s">
        <v>115</v>
      </c>
      <c r="U81" s="255">
        <v>65</v>
      </c>
      <c r="V81" s="1184" t="s">
        <v>1359</v>
      </c>
      <c r="W81" s="968"/>
      <c r="X81" s="968"/>
      <c r="Y81" s="1184" t="s">
        <v>110</v>
      </c>
      <c r="Z81" s="14"/>
      <c r="AA81" s="1225" t="s">
        <v>47</v>
      </c>
      <c r="AD81" s="33" t="str">
        <f>C81&amp;F81</f>
        <v>The NetherlandsLC bn</v>
      </c>
    </row>
    <row r="82" spans="1:30" ht="98.5" customHeight="1">
      <c r="A82" s="1268"/>
      <c r="B82" s="1268"/>
      <c r="C82" s="1256"/>
      <c r="D82" s="1253"/>
      <c r="E82" s="37"/>
      <c r="F82" s="175" t="s">
        <v>116</v>
      </c>
      <c r="G82" s="251" t="e">
        <f>G81/VLOOKUP(C81,#REF!,8,0)</f>
        <v>#REF!</v>
      </c>
      <c r="H82" s="258" t="e">
        <f>H81/VLOOKUP($C81,#REF!,8,0)</f>
        <v>#REF!</v>
      </c>
      <c r="I82" s="1203"/>
      <c r="J82" s="251" t="e">
        <f>J81/VLOOKUP($C81,#REF!,8,0)</f>
        <v>#REF!</v>
      </c>
      <c r="K82" s="1219"/>
      <c r="L82" s="251" t="e">
        <f>L81/VLOOKUP($C81,#REF!,8,0)</f>
        <v>#REF!</v>
      </c>
      <c r="M82" s="1196"/>
      <c r="N82" s="37"/>
      <c r="O82" s="175" t="s">
        <v>116</v>
      </c>
      <c r="P82" s="118" t="e">
        <f>P81/VLOOKUP($C81,#REF!,8,0)</f>
        <v>#REF!</v>
      </c>
      <c r="Q82" s="277"/>
      <c r="R82" s="1219"/>
      <c r="S82" s="37"/>
      <c r="T82" s="175" t="s">
        <v>116</v>
      </c>
      <c r="U82" s="257" t="e">
        <f>U81/VLOOKUP($C81,#REF!,8,0)</f>
        <v>#REF!</v>
      </c>
      <c r="V82" s="1219"/>
      <c r="W82" s="984"/>
      <c r="X82" s="984"/>
      <c r="Y82" s="1185"/>
      <c r="Z82" s="37"/>
      <c r="AA82" s="1226"/>
      <c r="AD82" s="33" t="str">
        <f>C81&amp;F82</f>
        <v>The NetherlandsUSD bn</v>
      </c>
    </row>
    <row r="83" spans="1:30" ht="131.5" customHeight="1">
      <c r="A83" s="1268"/>
      <c r="B83" s="1268"/>
      <c r="C83" s="1257"/>
      <c r="D83" s="1254"/>
      <c r="E83" s="12"/>
      <c r="F83" s="53" t="s">
        <v>117</v>
      </c>
      <c r="G83" s="252" t="e">
        <f>(G81/VLOOKUP(C81,#REF!,4,0))*100</f>
        <v>#REF!</v>
      </c>
      <c r="H83" s="252" t="e">
        <f>(H81/VLOOKUP($C81,#REF!,4,0))*100</f>
        <v>#REF!</v>
      </c>
      <c r="I83" s="1204"/>
      <c r="J83" s="252" t="e">
        <f>J81/VLOOKUP($C81,#REF!,4,0)*100</f>
        <v>#REF!</v>
      </c>
      <c r="K83" s="1186"/>
      <c r="L83" s="252" t="e">
        <f>L81/VLOOKUP($C81,#REF!,4,0)*100</f>
        <v>#REF!</v>
      </c>
      <c r="M83" s="1197"/>
      <c r="N83" s="12"/>
      <c r="O83" s="53" t="s">
        <v>117</v>
      </c>
      <c r="P83" s="17" t="e">
        <f>P81/VLOOKUP($C81,#REF!,4,0)*100</f>
        <v>#REF!</v>
      </c>
      <c r="Q83" s="267"/>
      <c r="R83" s="1186"/>
      <c r="S83" s="12"/>
      <c r="T83" s="53" t="s">
        <v>117</v>
      </c>
      <c r="U83" s="1008" t="e">
        <f>U81/VLOOKUP($C81,#REF!,4,0)*100</f>
        <v>#REF!</v>
      </c>
      <c r="V83" s="1186"/>
      <c r="W83" s="970"/>
      <c r="X83" s="970"/>
      <c r="Y83" s="1186"/>
      <c r="Z83" s="52"/>
      <c r="AA83" s="1227"/>
      <c r="AD83" s="33" t="str">
        <f>C81&amp;F83</f>
        <v>The Netherlands% GDP</v>
      </c>
    </row>
    <row r="84" spans="1:30" ht="111.65" customHeight="1">
      <c r="A84" s="1269">
        <v>0</v>
      </c>
      <c r="B84" s="1269" t="s">
        <v>858</v>
      </c>
      <c r="C84" s="1273" t="s">
        <v>553</v>
      </c>
      <c r="D84" s="1277" t="s">
        <v>571</v>
      </c>
      <c r="E84" s="14"/>
      <c r="F84" s="38" t="s">
        <v>115</v>
      </c>
      <c r="G84" s="522">
        <f>H84+J84</f>
        <v>61.6</v>
      </c>
      <c r="H84" s="1003">
        <v>3.9</v>
      </c>
      <c r="I84" s="1184" t="s">
        <v>1396</v>
      </c>
      <c r="J84" s="934">
        <v>57.7</v>
      </c>
      <c r="K84" s="1258" t="s">
        <v>1397</v>
      </c>
      <c r="L84" s="935"/>
      <c r="M84" s="935"/>
      <c r="N84" s="6"/>
      <c r="O84" s="520" t="s">
        <v>115</v>
      </c>
      <c r="P84" s="177">
        <f t="shared" ref="P84:P107" si="5">Q84+U84+W84</f>
        <v>8.75</v>
      </c>
      <c r="Q84" s="515">
        <v>2.5</v>
      </c>
      <c r="R84" s="1190" t="s">
        <v>1375</v>
      </c>
      <c r="S84" s="6"/>
      <c r="T84" s="520" t="s">
        <v>115</v>
      </c>
      <c r="U84" s="936">
        <v>6.25</v>
      </c>
      <c r="V84" s="1190" t="s">
        <v>1376</v>
      </c>
      <c r="W84" s="984"/>
      <c r="X84" s="1241"/>
      <c r="Y84" s="969"/>
      <c r="AA84" s="989"/>
      <c r="AD84" s="33" t="str">
        <f>C84&amp;F84</f>
        <v>New ZealandLC bn</v>
      </c>
    </row>
    <row r="85" spans="1:30" ht="120.65" customHeight="1">
      <c r="A85" s="1269"/>
      <c r="B85" s="1269"/>
      <c r="C85" s="1273"/>
      <c r="D85" s="1277"/>
      <c r="E85" s="937"/>
      <c r="F85" s="520" t="s">
        <v>116</v>
      </c>
      <c r="G85" s="522" t="e">
        <f>G84/VLOOKUP($C84,#REF!,8,0)</f>
        <v>#REF!</v>
      </c>
      <c r="H85" s="470" t="e">
        <f>H84/VLOOKUP($C84,#REF!,8,0)</f>
        <v>#REF!</v>
      </c>
      <c r="I85" s="1308"/>
      <c r="J85" s="522" t="e">
        <f>J84/VLOOKUP($C84,#REF!,8,0)</f>
        <v>#REF!</v>
      </c>
      <c r="K85" s="1238"/>
      <c r="L85" s="935"/>
      <c r="M85" s="935"/>
      <c r="N85" s="6"/>
      <c r="O85" s="520" t="s">
        <v>116</v>
      </c>
      <c r="P85" s="936" t="e">
        <f t="shared" si="5"/>
        <v>#REF!</v>
      </c>
      <c r="Q85" s="470" t="e">
        <f>Q84/VLOOKUP($C84,#REF!,8,0)</f>
        <v>#REF!</v>
      </c>
      <c r="R85" s="1238"/>
      <c r="S85" s="6"/>
      <c r="T85" s="520" t="s">
        <v>116</v>
      </c>
      <c r="U85" s="470" t="e">
        <f>U84/VLOOKUP($C84,#REF!,8,0)</f>
        <v>#REF!</v>
      </c>
      <c r="V85" s="1238"/>
      <c r="W85" s="984"/>
      <c r="X85" s="1284"/>
      <c r="Y85" s="969"/>
      <c r="AA85" s="989"/>
      <c r="AD85" s="33" t="str">
        <f>C84&amp;F85</f>
        <v>New ZealandUSD bn</v>
      </c>
    </row>
    <row r="86" spans="1:30" ht="136.5" customHeight="1">
      <c r="A86" s="1269"/>
      <c r="B86" s="1269"/>
      <c r="C86" s="1257"/>
      <c r="D86" s="1254"/>
      <c r="E86" s="12"/>
      <c r="F86" s="53" t="s">
        <v>117</v>
      </c>
      <c r="G86" s="17" t="e">
        <f>(G84/VLOOKUP($C84,#REF!,4,0))*100</f>
        <v>#REF!</v>
      </c>
      <c r="H86" s="17" t="e">
        <f>(H84/VLOOKUP($C84,#REF!,4,0))*100</f>
        <v>#REF!</v>
      </c>
      <c r="I86" s="1204"/>
      <c r="J86" s="17" t="e">
        <f>(J84/VLOOKUP($C84,#REF!,4,0))*100</f>
        <v>#REF!</v>
      </c>
      <c r="K86" s="1192"/>
      <c r="L86" s="935"/>
      <c r="M86" s="935"/>
      <c r="N86" s="6"/>
      <c r="O86" s="53" t="s">
        <v>117</v>
      </c>
      <c r="P86" s="17" t="e">
        <f t="shared" si="5"/>
        <v>#REF!</v>
      </c>
      <c r="Q86" s="17" t="e">
        <f>(Q84/VLOOKUP($C84,#REF!,4,0))*100</f>
        <v>#REF!</v>
      </c>
      <c r="R86" s="1192"/>
      <c r="S86" s="6"/>
      <c r="T86" s="53" t="s">
        <v>117</v>
      </c>
      <c r="U86" s="17" t="e">
        <f>(U84/VLOOKUP($C84,#REF!,4,0))*100</f>
        <v>#REF!</v>
      </c>
      <c r="V86" s="1192"/>
      <c r="W86" s="984"/>
      <c r="X86" s="1243"/>
      <c r="Y86" s="969"/>
      <c r="AA86" s="989"/>
      <c r="AD86" s="33" t="str">
        <f>C84&amp;F86</f>
        <v>New Zealand% GDP</v>
      </c>
    </row>
    <row r="87" spans="1:30" s="37" customFormat="1" ht="58.5" customHeight="1">
      <c r="A87" s="1269">
        <v>0</v>
      </c>
      <c r="B87" s="1269" t="s">
        <v>858</v>
      </c>
      <c r="C87" s="1273" t="s">
        <v>36</v>
      </c>
      <c r="D87" s="1277" t="s">
        <v>571</v>
      </c>
      <c r="E87" s="14"/>
      <c r="F87" s="38" t="s">
        <v>115</v>
      </c>
      <c r="G87" s="177">
        <v>126.3</v>
      </c>
      <c r="H87" s="979">
        <v>10.8</v>
      </c>
      <c r="I87" s="1184" t="s">
        <v>1377</v>
      </c>
      <c r="J87" s="986">
        <f>G87-H87</f>
        <v>115.5</v>
      </c>
      <c r="K87" s="1184" t="s">
        <v>1395</v>
      </c>
      <c r="L87" s="979"/>
      <c r="M87" s="1184" t="s">
        <v>1378</v>
      </c>
      <c r="N87" s="14"/>
      <c r="O87" s="520" t="s">
        <v>115</v>
      </c>
      <c r="P87" s="177">
        <f t="shared" si="5"/>
        <v>130</v>
      </c>
      <c r="Q87" s="274">
        <v>52</v>
      </c>
      <c r="R87" s="1184" t="s">
        <v>1415</v>
      </c>
      <c r="S87" s="14"/>
      <c r="T87" s="520" t="s">
        <v>115</v>
      </c>
      <c r="U87" s="177">
        <v>78</v>
      </c>
      <c r="V87" s="1184" t="s">
        <v>1416</v>
      </c>
      <c r="W87" s="968"/>
      <c r="X87" s="968"/>
      <c r="Y87" s="1184" t="s">
        <v>127</v>
      </c>
      <c r="Z87" s="14"/>
      <c r="AA87" s="1225" t="s">
        <v>48</v>
      </c>
      <c r="AD87" s="33" t="str">
        <f>C87&amp;F87</f>
        <v>NorwayLC bn</v>
      </c>
    </row>
    <row r="88" spans="1:30" s="37" customFormat="1" ht="62.5" customHeight="1">
      <c r="A88" s="1269"/>
      <c r="B88" s="1269"/>
      <c r="C88" s="1273"/>
      <c r="D88" s="1277"/>
      <c r="E88" s="937"/>
      <c r="F88" s="520" t="s">
        <v>116</v>
      </c>
      <c r="G88" s="522" t="e">
        <f>G87/#REF!</f>
        <v>#REF!</v>
      </c>
      <c r="H88" s="936" t="e">
        <f>H87/VLOOKUP($C87,#REF!,8,0)</f>
        <v>#REF!</v>
      </c>
      <c r="I88" s="1219"/>
      <c r="J88" s="936" t="e">
        <f>J87/VLOOKUP($C87,#REF!,8,0)</f>
        <v>#REF!</v>
      </c>
      <c r="K88" s="1219"/>
      <c r="L88" s="984"/>
      <c r="M88" s="1219"/>
      <c r="N88" s="937"/>
      <c r="O88" s="520" t="s">
        <v>116</v>
      </c>
      <c r="P88" s="190" t="e">
        <f t="shared" si="5"/>
        <v>#REF!</v>
      </c>
      <c r="Q88" s="938" t="e">
        <f>Q87/#REF!</f>
        <v>#REF!</v>
      </c>
      <c r="R88" s="1219"/>
      <c r="S88" s="937"/>
      <c r="T88" s="520" t="s">
        <v>116</v>
      </c>
      <c r="U88" s="190" t="e">
        <f>U87/#REF!</f>
        <v>#REF!</v>
      </c>
      <c r="V88" s="1219"/>
      <c r="W88" s="984"/>
      <c r="X88" s="984"/>
      <c r="Y88" s="1185"/>
      <c r="AA88" s="1226"/>
      <c r="AD88" s="33" t="str">
        <f>C87&amp;F88</f>
        <v>NorwayUSD bn</v>
      </c>
    </row>
    <row r="89" spans="1:30" ht="129.65" customHeight="1">
      <c r="A89" s="1269"/>
      <c r="B89" s="1269"/>
      <c r="C89" s="1257"/>
      <c r="D89" s="1254"/>
      <c r="E89" s="12"/>
      <c r="F89" s="53" t="s">
        <v>117</v>
      </c>
      <c r="G89" s="17" t="e">
        <f>((G87/#REF!))*100</f>
        <v>#REF!</v>
      </c>
      <c r="H89" s="716" t="e">
        <f>(H87/VLOOKUP($C87,#REF!,4,0))*100</f>
        <v>#REF!</v>
      </c>
      <c r="I89" s="1186"/>
      <c r="J89" s="991" t="e">
        <f>(J87/VLOOKUP($C87,#REF!,4,0))*100</f>
        <v>#REF!</v>
      </c>
      <c r="K89" s="1186"/>
      <c r="L89" s="970"/>
      <c r="M89" s="1186"/>
      <c r="N89" s="12"/>
      <c r="O89" s="53" t="s">
        <v>117</v>
      </c>
      <c r="P89" s="104" t="e">
        <f t="shared" si="5"/>
        <v>#REF!</v>
      </c>
      <c r="Q89" s="273" t="e">
        <f>((Q87/#REF!))*100</f>
        <v>#REF!</v>
      </c>
      <c r="R89" s="1186"/>
      <c r="S89" s="12"/>
      <c r="T89" s="53" t="s">
        <v>117</v>
      </c>
      <c r="U89" s="17" t="e">
        <f>((U87/#REF!))*100</f>
        <v>#REF!</v>
      </c>
      <c r="V89" s="1186"/>
      <c r="W89" s="970"/>
      <c r="X89" s="970"/>
      <c r="Y89" s="1186"/>
      <c r="Z89" s="52"/>
      <c r="AA89" s="1227"/>
      <c r="AD89" s="33" t="str">
        <f>C87&amp;F89</f>
        <v>Norway% GDP</v>
      </c>
    </row>
    <row r="90" spans="1:30" s="37" customFormat="1" ht="99.65" customHeight="1">
      <c r="A90" s="1269">
        <v>0</v>
      </c>
      <c r="B90" s="1269" t="s">
        <v>858</v>
      </c>
      <c r="C90" s="1273" t="s">
        <v>31</v>
      </c>
      <c r="D90" s="1277" t="s">
        <v>571</v>
      </c>
      <c r="E90" s="14"/>
      <c r="F90" s="38" t="s">
        <v>115</v>
      </c>
      <c r="G90" s="177">
        <f>H90+J90</f>
        <v>75.2</v>
      </c>
      <c r="H90" s="979">
        <v>0.8</v>
      </c>
      <c r="I90" s="1184" t="s">
        <v>627</v>
      </c>
      <c r="J90" s="177">
        <v>74.400000000000006</v>
      </c>
      <c r="K90" s="1184" t="s">
        <v>1310</v>
      </c>
      <c r="L90" s="968"/>
      <c r="M90" s="968"/>
      <c r="N90" s="14"/>
      <c r="O90" s="520" t="s">
        <v>115</v>
      </c>
      <c r="P90" s="177">
        <f t="shared" si="5"/>
        <v>22</v>
      </c>
      <c r="Q90" s="274">
        <v>22</v>
      </c>
      <c r="R90" s="1184" t="s">
        <v>1417</v>
      </c>
      <c r="S90" s="14"/>
      <c r="T90" s="520" t="s">
        <v>115</v>
      </c>
      <c r="U90" s="986"/>
      <c r="V90" s="1184"/>
      <c r="W90" s="968"/>
      <c r="X90" s="968"/>
      <c r="Y90" s="968"/>
      <c r="Z90" s="14"/>
      <c r="AA90" s="968"/>
      <c r="AD90" s="33" t="str">
        <f>C90&amp;F90</f>
        <v>SingaporeLC bn</v>
      </c>
    </row>
    <row r="91" spans="1:30" s="997" customFormat="1" ht="58.5" customHeight="1">
      <c r="A91" s="1269"/>
      <c r="B91" s="1269"/>
      <c r="C91" s="1273"/>
      <c r="D91" s="1277"/>
      <c r="E91" s="937"/>
      <c r="F91" s="520" t="s">
        <v>116</v>
      </c>
      <c r="G91" s="522" t="e">
        <f>G90/VLOOKUP(C90,#REF!,8,0)</f>
        <v>#REF!</v>
      </c>
      <c r="H91" s="470" t="e">
        <f>H90/VLOOKUP($C90,#REF!,8,0)</f>
        <v>#REF!</v>
      </c>
      <c r="I91" s="1219"/>
      <c r="J91" s="522" t="e">
        <f>J90/VLOOKUP($C90,#REF!,8,0)</f>
        <v>#REF!</v>
      </c>
      <c r="K91" s="1219"/>
      <c r="L91" s="984"/>
      <c r="M91" s="984"/>
      <c r="N91" s="937"/>
      <c r="O91" s="520" t="s">
        <v>116</v>
      </c>
      <c r="P91" s="190" t="e">
        <f t="shared" si="5"/>
        <v>#REF!</v>
      </c>
      <c r="Q91" s="266" t="e">
        <f>Q90/VLOOKUP(C90,#REF!,8,0)</f>
        <v>#REF!</v>
      </c>
      <c r="R91" s="1219"/>
      <c r="S91" s="937"/>
      <c r="T91" s="520" t="s">
        <v>116</v>
      </c>
      <c r="U91" s="936"/>
      <c r="V91" s="1219"/>
      <c r="W91" s="984"/>
      <c r="X91" s="984"/>
      <c r="Y91" s="969"/>
      <c r="Z91" s="37"/>
      <c r="AA91" s="969"/>
      <c r="AD91" s="33" t="str">
        <f>C90&amp;F91</f>
        <v>SingaporeUSD bn</v>
      </c>
    </row>
    <row r="92" spans="1:30" ht="42.65" customHeight="1">
      <c r="A92" s="1269"/>
      <c r="B92" s="1269"/>
      <c r="C92" s="1257"/>
      <c r="D92" s="1254"/>
      <c r="E92" s="6"/>
      <c r="F92" s="520" t="s">
        <v>117</v>
      </c>
      <c r="G92" s="470" t="e">
        <f>(G90/VLOOKUP(C90,#REF!,4,0))*100</f>
        <v>#REF!</v>
      </c>
      <c r="H92" s="17" t="e">
        <f>(H90/VLOOKUP($C90,#REF!,4,0))*100</f>
        <v>#REF!</v>
      </c>
      <c r="I92" s="1186"/>
      <c r="J92" s="17" t="e">
        <f>J90/VLOOKUP($C90,#REF!,4,0)*100</f>
        <v>#REF!</v>
      </c>
      <c r="K92" s="1186"/>
      <c r="L92" s="984"/>
      <c r="M92" s="984"/>
      <c r="N92" s="6"/>
      <c r="O92" s="520" t="s">
        <v>117</v>
      </c>
      <c r="P92" s="17" t="e">
        <f t="shared" si="5"/>
        <v>#REF!</v>
      </c>
      <c r="Q92" s="269" t="e">
        <f>(Q90/VLOOKUP(C90,#REF!,4,0))*100</f>
        <v>#REF!</v>
      </c>
      <c r="R92" s="1186"/>
      <c r="S92" s="6"/>
      <c r="T92" s="520" t="s">
        <v>117</v>
      </c>
      <c r="U92" s="470"/>
      <c r="V92" s="1186"/>
      <c r="W92" s="984"/>
      <c r="X92" s="984"/>
      <c r="Y92" s="969"/>
      <c r="AA92" s="989"/>
      <c r="AD92" s="33" t="str">
        <f>C90&amp;F92</f>
        <v>Singapore% GDP</v>
      </c>
    </row>
    <row r="93" spans="1:30" s="15" customFormat="1" ht="90.75" customHeight="1">
      <c r="A93" s="1269">
        <v>0</v>
      </c>
      <c r="B93" s="1269" t="s">
        <v>858</v>
      </c>
      <c r="C93" s="1273" t="s">
        <v>21</v>
      </c>
      <c r="D93" s="1252" t="s">
        <v>571</v>
      </c>
      <c r="F93" s="38" t="s">
        <v>115</v>
      </c>
      <c r="G93" s="177">
        <f>H93+J93</f>
        <v>206.26</v>
      </c>
      <c r="H93" s="986">
        <v>37.659999999999997</v>
      </c>
      <c r="I93" s="1278" t="s">
        <v>1343</v>
      </c>
      <c r="J93" s="62">
        <v>168.6</v>
      </c>
      <c r="K93" s="1190" t="s">
        <v>1344</v>
      </c>
      <c r="L93" s="979">
        <v>335</v>
      </c>
      <c r="M93" s="1270" t="s">
        <v>1345</v>
      </c>
      <c r="O93" s="38" t="s">
        <v>115</v>
      </c>
      <c r="P93" s="177">
        <f t="shared" si="5"/>
        <v>261.7</v>
      </c>
      <c r="Q93" s="268">
        <v>11.7</v>
      </c>
      <c r="R93" s="1190" t="s">
        <v>1222</v>
      </c>
      <c r="T93" s="38" t="s">
        <v>115</v>
      </c>
      <c r="U93" s="102">
        <v>250</v>
      </c>
      <c r="V93" s="1190" t="s">
        <v>1223</v>
      </c>
      <c r="W93" s="968"/>
      <c r="X93" s="968"/>
      <c r="Y93" s="22"/>
      <c r="AA93" s="968"/>
      <c r="AD93" s="33" t="str">
        <f>C93&amp;F93</f>
        <v>SwedenLC bn</v>
      </c>
    </row>
    <row r="94" spans="1:30" s="37" customFormat="1" ht="110.15" customHeight="1">
      <c r="A94" s="1269"/>
      <c r="B94" s="1269"/>
      <c r="C94" s="1273"/>
      <c r="D94" s="1277"/>
      <c r="E94" s="3"/>
      <c r="F94" s="520" t="s">
        <v>116</v>
      </c>
      <c r="G94" s="522" t="e">
        <f>G93/VLOOKUP($C93,#REF!,8,0)</f>
        <v>#REF!</v>
      </c>
      <c r="H94" s="470" t="e">
        <f>H93/VLOOKUP($C93,#REF!,8,0)</f>
        <v>#REF!</v>
      </c>
      <c r="I94" s="1279"/>
      <c r="J94" s="522" t="e">
        <f>J93/VLOOKUP($C93,#REF!,8,0)</f>
        <v>#REF!</v>
      </c>
      <c r="K94" s="1238"/>
      <c r="L94" s="190" t="e">
        <f>L93/VLOOKUP(C93,#REF!,8,0)</f>
        <v>#REF!</v>
      </c>
      <c r="M94" s="1219"/>
      <c r="N94" s="3"/>
      <c r="O94" s="520" t="s">
        <v>116</v>
      </c>
      <c r="P94" s="190" t="e">
        <f t="shared" si="5"/>
        <v>#REF!</v>
      </c>
      <c r="Q94" s="470" t="e">
        <f>Q93/VLOOKUP($C93,#REF!,8,0)</f>
        <v>#REF!</v>
      </c>
      <c r="R94" s="1238"/>
      <c r="S94" s="3"/>
      <c r="T94" s="520" t="s">
        <v>116</v>
      </c>
      <c r="U94" s="522" t="e">
        <f>U93/VLOOKUP($C93,#REF!,8,0)</f>
        <v>#REF!</v>
      </c>
      <c r="V94" s="1238"/>
      <c r="W94" s="984"/>
      <c r="X94" s="984"/>
      <c r="Y94" s="58"/>
      <c r="Z94" s="55"/>
      <c r="AA94" s="969"/>
      <c r="AD94" s="33" t="str">
        <f>C93&amp;F94</f>
        <v>SwedenUSD bn</v>
      </c>
    </row>
    <row r="95" spans="1:30" ht="93" customHeight="1">
      <c r="A95" s="1269"/>
      <c r="B95" s="1269"/>
      <c r="C95" s="1257"/>
      <c r="D95" s="1254"/>
      <c r="E95" s="12"/>
      <c r="F95" s="53" t="s">
        <v>117</v>
      </c>
      <c r="G95" s="17" t="e">
        <f>(G93/VLOOKUP($C93,#REF!,4,0))*100</f>
        <v>#REF!</v>
      </c>
      <c r="H95" s="17" t="e">
        <f>(H93/VLOOKUP($C93,#REF!,4,0))*100</f>
        <v>#REF!</v>
      </c>
      <c r="I95" s="1280"/>
      <c r="J95" s="17" t="e">
        <f>(J93/VLOOKUP($C93,#REF!,4,0))*100</f>
        <v>#REF!</v>
      </c>
      <c r="K95" s="1192"/>
      <c r="L95" s="991" t="e">
        <f>(L93/VLOOKUP(C93,#REF!,4,0))*100</f>
        <v>#REF!</v>
      </c>
      <c r="M95" s="1186"/>
      <c r="N95" s="12"/>
      <c r="O95" s="53" t="s">
        <v>117</v>
      </c>
      <c r="P95" s="17" t="e">
        <f t="shared" si="5"/>
        <v>#REF!</v>
      </c>
      <c r="Q95" s="17" t="e">
        <f>(Q93/VLOOKUP($C93,#REF!,4,0))*100</f>
        <v>#REF!</v>
      </c>
      <c r="R95" s="1192"/>
      <c r="S95" s="12"/>
      <c r="T95" s="53" t="s">
        <v>117</v>
      </c>
      <c r="U95" s="17" t="e">
        <f>(U93/VLOOKUP($C93,#REF!,4,0))*100</f>
        <v>#REF!</v>
      </c>
      <c r="V95" s="1192"/>
      <c r="W95" s="970"/>
      <c r="X95" s="970"/>
      <c r="Y95" s="970"/>
      <c r="Z95" s="52"/>
      <c r="AA95" s="990"/>
      <c r="AD95" s="33" t="str">
        <f>C93&amp;F95</f>
        <v>Sweden% GDP</v>
      </c>
    </row>
    <row r="96" spans="1:30" ht="58.5" customHeight="1">
      <c r="A96" s="1269">
        <v>0</v>
      </c>
      <c r="B96" s="1269" t="s">
        <v>858</v>
      </c>
      <c r="C96" s="1273" t="s">
        <v>558</v>
      </c>
      <c r="D96" s="1252" t="s">
        <v>571</v>
      </c>
      <c r="E96" s="15"/>
      <c r="F96" s="38" t="s">
        <v>115</v>
      </c>
      <c r="G96" s="522">
        <f>H96+J96</f>
        <v>37.143999999999998</v>
      </c>
      <c r="H96" s="1003">
        <v>3</v>
      </c>
      <c r="I96" s="1190" t="s">
        <v>1360</v>
      </c>
      <c r="J96" s="190">
        <v>34.143999999999998</v>
      </c>
      <c r="K96" s="1258" t="s">
        <v>1390</v>
      </c>
      <c r="L96" s="939"/>
      <c r="M96" s="1184"/>
      <c r="N96" s="6"/>
      <c r="O96" s="38" t="s">
        <v>115</v>
      </c>
      <c r="P96" s="177">
        <f t="shared" si="5"/>
        <v>42.199999999999996</v>
      </c>
      <c r="Q96" s="269">
        <v>0.8</v>
      </c>
      <c r="R96" s="1340" t="s">
        <v>1391</v>
      </c>
      <c r="S96" s="6"/>
      <c r="T96" s="38" t="s">
        <v>115</v>
      </c>
      <c r="U96" s="522">
        <v>41.4</v>
      </c>
      <c r="V96" s="1340" t="s">
        <v>1392</v>
      </c>
      <c r="W96" s="984"/>
      <c r="X96" s="984"/>
      <c r="Y96" s="969"/>
      <c r="AA96" s="989"/>
      <c r="AD96" s="33" t="str">
        <f>C96&amp;F96</f>
        <v>SwitzerlandLC bn</v>
      </c>
    </row>
    <row r="97" spans="1:30" ht="58.5" customHeight="1">
      <c r="A97" s="1269"/>
      <c r="B97" s="1269"/>
      <c r="C97" s="1273"/>
      <c r="D97" s="1277"/>
      <c r="E97" s="3"/>
      <c r="F97" s="520" t="s">
        <v>116</v>
      </c>
      <c r="G97" s="522" t="e">
        <f>G96/VLOOKUP($C96,#REF!,8,0)</f>
        <v>#REF!</v>
      </c>
      <c r="H97" s="470" t="e">
        <f>H96/VLOOKUP($C96,#REF!,8,0)</f>
        <v>#REF!</v>
      </c>
      <c r="I97" s="1238"/>
      <c r="J97" s="522" t="e">
        <f>J96/VLOOKUP($C96,#REF!,8,0)</f>
        <v>#REF!</v>
      </c>
      <c r="K97" s="1238"/>
      <c r="L97" s="522"/>
      <c r="M97" s="1219"/>
      <c r="N97" s="6"/>
      <c r="O97" s="520" t="s">
        <v>116</v>
      </c>
      <c r="P97" s="190" t="e">
        <f t="shared" si="5"/>
        <v>#REF!</v>
      </c>
      <c r="Q97" s="470" t="e">
        <f>Q96/VLOOKUP($C96,#REF!,8,0)</f>
        <v>#REF!</v>
      </c>
      <c r="R97" s="1219"/>
      <c r="S97" s="6"/>
      <c r="T97" s="520" t="s">
        <v>116</v>
      </c>
      <c r="U97" s="522" t="e">
        <f>U96/VLOOKUP($C96,#REF!,8,0)</f>
        <v>#REF!</v>
      </c>
      <c r="V97" s="1308"/>
      <c r="W97" s="984"/>
      <c r="X97" s="984"/>
      <c r="Y97" s="969"/>
      <c r="AA97" s="989"/>
      <c r="AD97" s="33" t="str">
        <f>C96&amp;F97</f>
        <v>SwitzerlandUSD bn</v>
      </c>
    </row>
    <row r="98" spans="1:30" ht="58.5" customHeight="1">
      <c r="A98" s="1269"/>
      <c r="B98" s="1269"/>
      <c r="C98" s="1257"/>
      <c r="D98" s="1254"/>
      <c r="E98" s="12"/>
      <c r="F98" s="53" t="s">
        <v>117</v>
      </c>
      <c r="G98" s="17" t="e">
        <f>(G96/VLOOKUP($C96,#REF!,4,0))*100</f>
        <v>#REF!</v>
      </c>
      <c r="H98" s="17" t="e">
        <f>(H96/VLOOKUP($C96,#REF!,4,0))*100</f>
        <v>#REF!</v>
      </c>
      <c r="I98" s="1192"/>
      <c r="J98" s="17" t="e">
        <f>(J96/VLOOKUP($C96,#REF!,4,0))*100</f>
        <v>#REF!</v>
      </c>
      <c r="K98" s="1192"/>
      <c r="L98" s="17"/>
      <c r="M98" s="1186"/>
      <c r="N98" s="12"/>
      <c r="O98" s="53" t="s">
        <v>117</v>
      </c>
      <c r="P98" s="17" t="e">
        <f t="shared" si="5"/>
        <v>#REF!</v>
      </c>
      <c r="Q98" s="17" t="e">
        <f>(Q96/VLOOKUP($C96,#REF!,4,0))*100</f>
        <v>#REF!</v>
      </c>
      <c r="R98" s="1186"/>
      <c r="S98" s="12"/>
      <c r="T98" s="53" t="s">
        <v>117</v>
      </c>
      <c r="U98" s="17" t="e">
        <f>(U96/VLOOKUP($C96,#REF!,4,0))*100</f>
        <v>#REF!</v>
      </c>
      <c r="V98" s="1204"/>
      <c r="W98" s="970"/>
      <c r="X98" s="970"/>
      <c r="Y98" s="969"/>
      <c r="AA98" s="989"/>
      <c r="AD98" s="33" t="str">
        <f>C96&amp;F98</f>
        <v>Switzerland% GDP</v>
      </c>
    </row>
    <row r="99" spans="1:30" s="37" customFormat="1" ht="90.65" customHeight="1">
      <c r="A99" s="1268">
        <v>0</v>
      </c>
      <c r="B99" s="1268" t="s">
        <v>861</v>
      </c>
      <c r="C99" s="1256" t="s">
        <v>41</v>
      </c>
      <c r="D99" s="1252" t="s">
        <v>570</v>
      </c>
      <c r="F99" s="175" t="s">
        <v>115</v>
      </c>
      <c r="G99" s="257">
        <v>19.135000000000002</v>
      </c>
      <c r="H99" s="979">
        <v>2.5</v>
      </c>
      <c r="I99" s="1220" t="s">
        <v>1379</v>
      </c>
      <c r="J99" s="118">
        <f>13.635+0.081</f>
        <v>13.715999999999999</v>
      </c>
      <c r="K99" s="1190" t="s">
        <v>1393</v>
      </c>
      <c r="L99" s="980"/>
      <c r="M99" s="1184" t="s">
        <v>1380</v>
      </c>
      <c r="O99" s="175" t="s">
        <v>115</v>
      </c>
      <c r="P99" s="496">
        <f t="shared" si="5"/>
        <v>26</v>
      </c>
      <c r="Q99" s="277"/>
      <c r="R99" s="969"/>
      <c r="T99" s="175" t="s">
        <v>115</v>
      </c>
      <c r="U99" s="257">
        <v>26</v>
      </c>
      <c r="V99" s="1193" t="s">
        <v>1213</v>
      </c>
      <c r="W99" s="980"/>
      <c r="X99" s="969"/>
      <c r="Y99" s="969"/>
      <c r="AA99" s="969"/>
      <c r="AD99" s="33" t="str">
        <f>C99&amp;F99</f>
        <v>AlbaniaLC bn</v>
      </c>
    </row>
    <row r="100" spans="1:30" ht="83.5" customHeight="1">
      <c r="A100" s="1268"/>
      <c r="B100" s="1268"/>
      <c r="C100" s="1256"/>
      <c r="D100" s="1253"/>
      <c r="E100" s="37"/>
      <c r="F100" s="175" t="s">
        <v>116</v>
      </c>
      <c r="G100" s="258" t="e">
        <f>G99/VLOOKUP(C99,#REF!,8,0)</f>
        <v>#REF!</v>
      </c>
      <c r="H100" s="258" t="e">
        <f>H99/VLOOKUP($C99,#REF!,8,0)</f>
        <v>#REF!</v>
      </c>
      <c r="I100" s="1221"/>
      <c r="J100" s="258" t="e">
        <f>J99/VLOOKUP($C99,#REF!,8,0)</f>
        <v>#REF!</v>
      </c>
      <c r="K100" s="1238"/>
      <c r="L100" s="969"/>
      <c r="M100" s="1185"/>
      <c r="N100" s="37"/>
      <c r="O100" s="175" t="s">
        <v>116</v>
      </c>
      <c r="P100" s="412" t="e">
        <f t="shared" si="5"/>
        <v>#REF!</v>
      </c>
      <c r="Q100" s="277"/>
      <c r="R100" s="969"/>
      <c r="S100" s="37"/>
      <c r="T100" s="175" t="s">
        <v>116</v>
      </c>
      <c r="U100" s="258" t="e">
        <f>U99/VLOOKUP(C99,#REF!,8,0)</f>
        <v>#REF!</v>
      </c>
      <c r="V100" s="1196"/>
      <c r="W100" s="969"/>
      <c r="X100" s="969"/>
      <c r="Y100" s="969"/>
      <c r="Z100" s="37"/>
      <c r="AA100" s="969"/>
      <c r="AD100" s="33" t="str">
        <f>C99&amp;F100</f>
        <v>AlbaniaUSD bn</v>
      </c>
    </row>
    <row r="101" spans="1:30" ht="106.5" customHeight="1">
      <c r="A101" s="1268"/>
      <c r="B101" s="1268"/>
      <c r="C101" s="1257"/>
      <c r="D101" s="1254"/>
      <c r="E101" s="12"/>
      <c r="F101" s="53" t="s">
        <v>117</v>
      </c>
      <c r="G101" s="252" t="e">
        <f>(G99/VLOOKUP(C99,#REF!,4,0))*100</f>
        <v>#REF!</v>
      </c>
      <c r="H101" s="252" t="e">
        <f>(H99/VLOOKUP($C99,#REF!,4,0))*100</f>
        <v>#REF!</v>
      </c>
      <c r="I101" s="1222"/>
      <c r="J101" s="252" t="e">
        <f>J99/VLOOKUP($C99,#REF!,4,0)*100</f>
        <v>#REF!</v>
      </c>
      <c r="K101" s="1192"/>
      <c r="L101" s="970"/>
      <c r="M101" s="1186"/>
      <c r="N101" s="12"/>
      <c r="O101" s="53" t="s">
        <v>117</v>
      </c>
      <c r="P101" s="499" t="e">
        <f t="shared" si="5"/>
        <v>#REF!</v>
      </c>
      <c r="Q101" s="267"/>
      <c r="R101" s="1004"/>
      <c r="S101" s="12"/>
      <c r="T101" s="53" t="s">
        <v>117</v>
      </c>
      <c r="U101" s="252" t="e">
        <f>(U99/VLOOKUP(C99,#REF!,4,0))*100</f>
        <v>#REF!</v>
      </c>
      <c r="V101" s="1197"/>
      <c r="W101" s="970"/>
      <c r="X101" s="970"/>
      <c r="Y101" s="970"/>
      <c r="Z101" s="52"/>
      <c r="AA101" s="990"/>
      <c r="AD101" s="33" t="str">
        <f>C99&amp;F101</f>
        <v>Albania% GDP</v>
      </c>
    </row>
    <row r="102" spans="1:30" ht="243.65" customHeight="1">
      <c r="A102" s="1268">
        <v>0</v>
      </c>
      <c r="B102" s="1268" t="s">
        <v>861</v>
      </c>
      <c r="C102" s="1256" t="s">
        <v>27</v>
      </c>
      <c r="D102" s="1252" t="s">
        <v>570</v>
      </c>
      <c r="E102" s="15"/>
      <c r="F102" s="38" t="s">
        <v>115</v>
      </c>
      <c r="G102" s="1006">
        <f>H102+J102</f>
        <v>5.0966000000000005</v>
      </c>
      <c r="H102" s="1006">
        <v>1.5596000000000001</v>
      </c>
      <c r="I102" s="1270" t="s">
        <v>1401</v>
      </c>
      <c r="J102" s="286">
        <v>3.5369999999999999</v>
      </c>
      <c r="K102" s="1258" t="s">
        <v>1463</v>
      </c>
      <c r="L102" s="979">
        <v>0.6</v>
      </c>
      <c r="M102" s="1184" t="s">
        <v>633</v>
      </c>
      <c r="N102" s="15"/>
      <c r="O102" s="175" t="s">
        <v>115</v>
      </c>
      <c r="P102" s="986">
        <f>Q102+U102+W102</f>
        <v>4.5620000000000003</v>
      </c>
      <c r="Q102" s="268">
        <f>0.7+0.344+0.16+0.418</f>
        <v>1.6219999999999999</v>
      </c>
      <c r="R102" s="1184" t="s">
        <v>1399</v>
      </c>
      <c r="S102" s="15"/>
      <c r="T102" s="175" t="s">
        <v>115</v>
      </c>
      <c r="U102" s="286"/>
      <c r="V102" s="1184"/>
      <c r="W102" s="286">
        <f>1.5+0.68+0.72+0.04</f>
        <v>2.9400000000000004</v>
      </c>
      <c r="X102" s="1184" t="s">
        <v>1400</v>
      </c>
      <c r="Y102" s="1184" t="s">
        <v>78</v>
      </c>
      <c r="Z102" s="15"/>
      <c r="AA102" s="968"/>
      <c r="AD102" s="33" t="str">
        <f>C102&amp;F102</f>
        <v>BulgariaLC bn</v>
      </c>
    </row>
    <row r="103" spans="1:30" s="35" customFormat="1" ht="219.65" customHeight="1">
      <c r="A103" s="1268"/>
      <c r="B103" s="1268"/>
      <c r="C103" s="1256"/>
      <c r="D103" s="1253"/>
      <c r="E103" s="55"/>
      <c r="F103" s="175" t="s">
        <v>116</v>
      </c>
      <c r="G103" s="258" t="e">
        <f>G102/VLOOKUP($C102,#REF!,8,0)</f>
        <v>#REF!</v>
      </c>
      <c r="H103" s="258" t="e">
        <f>H102/VLOOKUP($C102,#REF!,8,0)</f>
        <v>#REF!</v>
      </c>
      <c r="I103" s="1203"/>
      <c r="J103" s="258" t="e">
        <f>J102/VLOOKUP($C102,#REF!,8,0)</f>
        <v>#REF!</v>
      </c>
      <c r="K103" s="1238"/>
      <c r="L103" s="258" t="e">
        <f>L102/VLOOKUP($C102,#REF!,8,0)</f>
        <v>#REF!</v>
      </c>
      <c r="M103" s="1185"/>
      <c r="N103" s="55"/>
      <c r="O103" s="175" t="s">
        <v>116</v>
      </c>
      <c r="P103" s="258" t="e">
        <f>Q103+U103+W103</f>
        <v>#REF!</v>
      </c>
      <c r="Q103" s="269" t="e">
        <f>Q102/VLOOKUP(C102,#REF!,8,0)</f>
        <v>#REF!</v>
      </c>
      <c r="R103" s="1219"/>
      <c r="S103" s="55"/>
      <c r="T103" s="175" t="s">
        <v>116</v>
      </c>
      <c r="U103" s="258"/>
      <c r="V103" s="1185"/>
      <c r="W103" s="258" t="e">
        <f>W102/VLOOKUP($C102,#REF!,8,0)</f>
        <v>#REF!</v>
      </c>
      <c r="X103" s="1219"/>
      <c r="Y103" s="1185"/>
      <c r="Z103" s="55"/>
      <c r="AA103" s="969"/>
      <c r="AD103" s="33" t="str">
        <f>C102&amp;F103</f>
        <v>BulgariaUSD bn</v>
      </c>
    </row>
    <row r="104" spans="1:30" ht="202.5" customHeight="1">
      <c r="A104" s="1268"/>
      <c r="B104" s="1268"/>
      <c r="C104" s="1257"/>
      <c r="D104" s="1254"/>
      <c r="E104" s="12"/>
      <c r="F104" s="53" t="s">
        <v>117</v>
      </c>
      <c r="G104" s="252" t="e">
        <f>(G102/VLOOKUP($C102,#REF!,4,0))*100</f>
        <v>#REF!</v>
      </c>
      <c r="H104" s="252" t="e">
        <f>(H102/VLOOKUP($C102,#REF!,4,0))*100</f>
        <v>#REF!</v>
      </c>
      <c r="I104" s="1204"/>
      <c r="J104" s="252" t="e">
        <f>(J102/VLOOKUP($C102,#REF!,4,0))*100</f>
        <v>#REF!</v>
      </c>
      <c r="K104" s="1192"/>
      <c r="L104" s="252" t="e">
        <f>(L102/VLOOKUP($C102,#REF!,4,0))*100</f>
        <v>#REF!</v>
      </c>
      <c r="M104" s="1186"/>
      <c r="N104" s="12"/>
      <c r="O104" s="53" t="s">
        <v>117</v>
      </c>
      <c r="P104" s="252" t="e">
        <f>Q104+U104+W104</f>
        <v>#REF!</v>
      </c>
      <c r="Q104" s="252" t="e">
        <f>(Q102/VLOOKUP($C102,#REF!,4,0))*100</f>
        <v>#REF!</v>
      </c>
      <c r="R104" s="1186"/>
      <c r="S104" s="12"/>
      <c r="T104" s="53" t="s">
        <v>117</v>
      </c>
      <c r="U104" s="252"/>
      <c r="V104" s="1186"/>
      <c r="W104" s="252" t="e">
        <f>(W102/VLOOKUP($C102,#REF!,4,0))*100</f>
        <v>#REF!</v>
      </c>
      <c r="X104" s="1186"/>
      <c r="Y104" s="1186"/>
      <c r="Z104" s="52"/>
      <c r="AA104" s="990"/>
      <c r="AD104" s="33" t="str">
        <f>C102&amp;F104</f>
        <v>Bulgaria% GDP</v>
      </c>
    </row>
    <row r="105" spans="1:30" s="35" customFormat="1" ht="50.5" customHeight="1">
      <c r="A105" s="1268">
        <v>0</v>
      </c>
      <c r="B105" s="1268" t="s">
        <v>861</v>
      </c>
      <c r="C105" s="1256" t="s">
        <v>42</v>
      </c>
      <c r="D105" s="1266" t="s">
        <v>571</v>
      </c>
      <c r="E105" s="16"/>
      <c r="F105" s="38" t="s">
        <v>115</v>
      </c>
      <c r="G105" s="281">
        <f>H105+J105</f>
        <v>20735</v>
      </c>
      <c r="H105" s="282">
        <v>2215</v>
      </c>
      <c r="I105" s="1278" t="s">
        <v>634</v>
      </c>
      <c r="J105" s="282">
        <v>18520</v>
      </c>
      <c r="K105" s="1190" t="s">
        <v>872</v>
      </c>
      <c r="L105" s="282">
        <v>3040</v>
      </c>
      <c r="M105" s="1238" t="s">
        <v>1158</v>
      </c>
      <c r="N105" s="16"/>
      <c r="O105" s="175" t="s">
        <v>115</v>
      </c>
      <c r="P105" s="282">
        <f t="shared" si="5"/>
        <v>4500</v>
      </c>
      <c r="Q105" s="282"/>
      <c r="R105" s="1238"/>
      <c r="S105" s="16"/>
      <c r="T105" s="175" t="s">
        <v>115</v>
      </c>
      <c r="U105" s="282"/>
      <c r="V105" s="1238"/>
      <c r="W105" s="102">
        <v>4500</v>
      </c>
      <c r="X105" s="1233" t="s">
        <v>1159</v>
      </c>
      <c r="Y105" s="1184" t="s">
        <v>244</v>
      </c>
      <c r="Z105" s="16"/>
      <c r="AA105" s="1225" t="s">
        <v>50</v>
      </c>
      <c r="AD105" s="33" t="str">
        <f>C105&amp;F105</f>
        <v>ChileLC bn</v>
      </c>
    </row>
    <row r="106" spans="1:30" s="37" customFormat="1" ht="45.65" customHeight="1">
      <c r="A106" s="1268"/>
      <c r="B106" s="1268"/>
      <c r="C106" s="1256"/>
      <c r="D106" s="1266"/>
      <c r="E106" s="35"/>
      <c r="F106" s="175" t="s">
        <v>116</v>
      </c>
      <c r="G106" s="251" t="e">
        <f>G105/VLOOKUP($C105,#REF!,8,0)</f>
        <v>#REF!</v>
      </c>
      <c r="H106" s="258" t="e">
        <f>H105/VLOOKUP($C105,#REF!,8,0)</f>
        <v>#REF!</v>
      </c>
      <c r="I106" s="1279"/>
      <c r="J106" s="251" t="e">
        <f>J105/VLOOKUP($C105,#REF!,8,0)</f>
        <v>#REF!</v>
      </c>
      <c r="K106" s="1238"/>
      <c r="L106" s="258" t="e">
        <f>L105/VLOOKUP($C105,#REF!,8,0)</f>
        <v>#REF!</v>
      </c>
      <c r="M106" s="1238"/>
      <c r="N106" s="35"/>
      <c r="O106" s="175" t="s">
        <v>116</v>
      </c>
      <c r="P106" s="412" t="e">
        <f t="shared" si="5"/>
        <v>#REF!</v>
      </c>
      <c r="Q106" s="258"/>
      <c r="R106" s="1238"/>
      <c r="S106" s="35"/>
      <c r="T106" s="175" t="s">
        <v>116</v>
      </c>
      <c r="U106" s="258"/>
      <c r="V106" s="1238"/>
      <c r="W106" s="258" t="e">
        <f>W105/VLOOKUP($C105,#REF!,8,0)</f>
        <v>#REF!</v>
      </c>
      <c r="X106" s="1247"/>
      <c r="Y106" s="1185"/>
      <c r="Z106" s="35"/>
      <c r="AA106" s="1226"/>
      <c r="AD106" s="33" t="str">
        <f>C105&amp;F106</f>
        <v>ChileUSD bn</v>
      </c>
    </row>
    <row r="107" spans="1:30" ht="42.65" customHeight="1">
      <c r="A107" s="1268"/>
      <c r="B107" s="1268"/>
      <c r="C107" s="1257"/>
      <c r="D107" s="1261"/>
      <c r="E107" s="12"/>
      <c r="F107" s="53" t="s">
        <v>117</v>
      </c>
      <c r="G107" s="252" t="e">
        <f>(G105/VLOOKUP($C105,#REF!,4,0))*100</f>
        <v>#REF!</v>
      </c>
      <c r="H107" s="252" t="e">
        <f>(H105/VLOOKUP($C105,#REF!,4,0))*100</f>
        <v>#REF!</v>
      </c>
      <c r="I107" s="1280"/>
      <c r="J107" s="252" t="e">
        <f>(J105/VLOOKUP($C105,#REF!,4,0))*100</f>
        <v>#REF!</v>
      </c>
      <c r="K107" s="1192"/>
      <c r="L107" s="991" t="e">
        <f>(L105/VLOOKUP(C105,#REF!,4,0))*100</f>
        <v>#REF!</v>
      </c>
      <c r="M107" s="1192"/>
      <c r="N107" s="12"/>
      <c r="O107" s="53" t="s">
        <v>117</v>
      </c>
      <c r="P107" s="499" t="e">
        <f t="shared" si="5"/>
        <v>#REF!</v>
      </c>
      <c r="Q107" s="252"/>
      <c r="R107" s="1192"/>
      <c r="S107" s="12"/>
      <c r="T107" s="53" t="s">
        <v>117</v>
      </c>
      <c r="U107" s="252"/>
      <c r="V107" s="1192"/>
      <c r="W107" s="252" t="e">
        <f>(W105/VLOOKUP($C105,#REF!,4,0))*100</f>
        <v>#REF!</v>
      </c>
      <c r="X107" s="1248"/>
      <c r="Y107" s="1186"/>
      <c r="Z107" s="52"/>
      <c r="AA107" s="1227"/>
      <c r="AD107" s="33" t="str">
        <f>C105&amp;F107</f>
        <v>Chile% GDP</v>
      </c>
    </row>
    <row r="108" spans="1:30" s="35" customFormat="1" ht="115.5" customHeight="1">
      <c r="A108" s="1268">
        <v>0</v>
      </c>
      <c r="B108" s="1268" t="s">
        <v>861</v>
      </c>
      <c r="C108" s="1256" t="s">
        <v>34</v>
      </c>
      <c r="D108" s="1252" t="s">
        <v>570</v>
      </c>
      <c r="E108" s="16"/>
      <c r="F108" s="38" t="s">
        <v>115</v>
      </c>
      <c r="G108" s="186">
        <v>41130.1</v>
      </c>
      <c r="H108" s="186">
        <v>10834.8</v>
      </c>
      <c r="I108" s="1220" t="s">
        <v>1446</v>
      </c>
      <c r="J108" s="186">
        <f>G108-H108</f>
        <v>30295.3</v>
      </c>
      <c r="K108" s="1184" t="s">
        <v>1447</v>
      </c>
      <c r="L108" s="979">
        <v>400</v>
      </c>
      <c r="M108" s="1184" t="s">
        <v>766</v>
      </c>
      <c r="N108" s="16"/>
      <c r="O108" s="175" t="s">
        <v>115</v>
      </c>
      <c r="P108" s="186">
        <f>Q108+U108+W108</f>
        <v>57312</v>
      </c>
      <c r="Q108" s="282">
        <v>31745</v>
      </c>
      <c r="R108" s="1228" t="s">
        <v>1247</v>
      </c>
      <c r="S108" s="16"/>
      <c r="T108" s="175" t="s">
        <v>115</v>
      </c>
      <c r="U108" s="186">
        <v>25567</v>
      </c>
      <c r="V108" s="1184" t="s">
        <v>1448</v>
      </c>
      <c r="W108" s="22"/>
      <c r="X108" s="22"/>
      <c r="Y108" s="22"/>
      <c r="Z108" s="16"/>
      <c r="AA108" s="968"/>
      <c r="AD108" s="33" t="str">
        <f>C108&amp;F108</f>
        <v>ColombiaLC bn</v>
      </c>
    </row>
    <row r="109" spans="1:30" s="35" customFormat="1" ht="115.5" customHeight="1">
      <c r="A109" s="1268"/>
      <c r="B109" s="1268"/>
      <c r="C109" s="1256"/>
      <c r="D109" s="1253"/>
      <c r="F109" s="175" t="s">
        <v>116</v>
      </c>
      <c r="G109" s="258" t="e">
        <f>G108/VLOOKUP($C108,#REF!,8,0)</f>
        <v>#REF!</v>
      </c>
      <c r="H109" s="258" t="e">
        <f>H108/VLOOKUP($C108,#REF!,8,0)</f>
        <v>#REF!</v>
      </c>
      <c r="I109" s="1287"/>
      <c r="J109" s="258" t="e">
        <f>J108/VLOOKUP($C108,#REF!,8,0)</f>
        <v>#REF!</v>
      </c>
      <c r="K109" s="1219"/>
      <c r="L109" s="258" t="e">
        <f>L108/VLOOKUP($C108,#REF!,8,0)</f>
        <v>#REF!</v>
      </c>
      <c r="M109" s="1185"/>
      <c r="O109" s="175" t="s">
        <v>116</v>
      </c>
      <c r="P109" s="987" t="e">
        <f>Q109+U109+W109</f>
        <v>#REF!</v>
      </c>
      <c r="Q109" s="269" t="e">
        <f>Q108/#REF!</f>
        <v>#REF!</v>
      </c>
      <c r="R109" s="1219"/>
      <c r="T109" s="175" t="s">
        <v>116</v>
      </c>
      <c r="U109" s="258" t="e">
        <f>U108/#REF!</f>
        <v>#REF!</v>
      </c>
      <c r="V109" s="1185"/>
      <c r="W109" s="58"/>
      <c r="X109" s="58"/>
      <c r="Y109" s="58"/>
      <c r="AA109" s="969"/>
      <c r="AD109" s="33" t="str">
        <f>C108&amp;F109</f>
        <v>ColombiaUSD bn</v>
      </c>
    </row>
    <row r="110" spans="1:30" ht="78.650000000000006" customHeight="1">
      <c r="A110" s="1268"/>
      <c r="B110" s="1268"/>
      <c r="C110" s="1257"/>
      <c r="D110" s="1254"/>
      <c r="E110" s="12"/>
      <c r="F110" s="53" t="s">
        <v>117</v>
      </c>
      <c r="G110" s="252" t="e">
        <f>(G108/VLOOKUP($C108,#REF!,4,0))*100</f>
        <v>#REF!</v>
      </c>
      <c r="H110" s="252" t="e">
        <f>(H108/VLOOKUP($C108,#REF!,4,0))*100</f>
        <v>#REF!</v>
      </c>
      <c r="I110" s="1222"/>
      <c r="J110" s="252" t="e">
        <f>(J108/VLOOKUP($C108,#REF!,4,0))*100</f>
        <v>#REF!</v>
      </c>
      <c r="K110" s="1186"/>
      <c r="L110" s="252" t="e">
        <f>(L108/VLOOKUP($C108,#REF!,4,0))*100</f>
        <v>#REF!</v>
      </c>
      <c r="M110" s="1186"/>
      <c r="N110" s="12"/>
      <c r="O110" s="53" t="s">
        <v>117</v>
      </c>
      <c r="P110" s="17" t="e">
        <f>Q110+U110+W110</f>
        <v>#REF!</v>
      </c>
      <c r="Q110" s="267" t="e">
        <f>Q108/#REF!*100</f>
        <v>#REF!</v>
      </c>
      <c r="R110" s="1186"/>
      <c r="S110" s="12"/>
      <c r="T110" s="53" t="s">
        <v>117</v>
      </c>
      <c r="U110" s="252" t="e">
        <f>U108/#REF!*100</f>
        <v>#REF!</v>
      </c>
      <c r="V110" s="1186"/>
      <c r="W110" s="970"/>
      <c r="X110" s="970"/>
      <c r="Y110" s="970"/>
      <c r="Z110" s="52"/>
      <c r="AA110" s="990"/>
      <c r="AD110" s="33" t="str">
        <f>C108&amp;F110</f>
        <v>Colombia% GDP</v>
      </c>
    </row>
    <row r="111" spans="1:30" s="37" customFormat="1" ht="112.5" customHeight="1">
      <c r="A111" s="1268">
        <v>0</v>
      </c>
      <c r="B111" s="1268" t="s">
        <v>861</v>
      </c>
      <c r="C111" s="1256" t="s">
        <v>23</v>
      </c>
      <c r="D111" s="1252" t="s">
        <v>571</v>
      </c>
      <c r="E111" s="14"/>
      <c r="F111" s="38" t="s">
        <v>115</v>
      </c>
      <c r="G111" s="986">
        <v>91.612000000000009</v>
      </c>
      <c r="H111" s="986">
        <v>12.941000000000001</v>
      </c>
      <c r="I111" s="1193" t="s">
        <v>1308</v>
      </c>
      <c r="J111" s="986">
        <f>G111-H111</f>
        <v>78.671000000000006</v>
      </c>
      <c r="K111" s="1270" t="s">
        <v>1381</v>
      </c>
      <c r="L111" s="968"/>
      <c r="M111" s="1193" t="s">
        <v>1382</v>
      </c>
      <c r="N111" s="14"/>
      <c r="O111" s="175" t="s">
        <v>115</v>
      </c>
      <c r="P111" s="986">
        <f>Q111+U111+W111</f>
        <v>7.44</v>
      </c>
      <c r="Q111" s="276">
        <v>7.44</v>
      </c>
      <c r="R111" s="1202"/>
      <c r="S111" s="14"/>
      <c r="T111" s="175" t="s">
        <v>115</v>
      </c>
      <c r="U111" s="1006"/>
      <c r="V111" s="1184" t="s">
        <v>560</v>
      </c>
      <c r="W111" s="968"/>
      <c r="X111" s="968" t="s">
        <v>1383</v>
      </c>
      <c r="Y111" s="968"/>
      <c r="Z111" s="14"/>
      <c r="AA111" s="968"/>
      <c r="AD111" s="33" t="str">
        <f>C111&amp;F111</f>
        <v>EgyptLC bn</v>
      </c>
    </row>
    <row r="112" spans="1:30" s="37" customFormat="1" ht="127.5" customHeight="1">
      <c r="A112" s="1268"/>
      <c r="B112" s="1268"/>
      <c r="C112" s="1256"/>
      <c r="D112" s="1253"/>
      <c r="F112" s="175" t="s">
        <v>116</v>
      </c>
      <c r="G112" s="258" t="e">
        <f>G111/VLOOKUP(C111,#REF!,8,0)</f>
        <v>#REF!</v>
      </c>
      <c r="H112" s="258" t="e">
        <f>H111/VLOOKUP($C111,#REF!,8,0)</f>
        <v>#REF!</v>
      </c>
      <c r="I112" s="1196"/>
      <c r="J112" s="987" t="e">
        <f>J111/VLOOKUP(C111,#REF!,8,0)</f>
        <v>#REF!</v>
      </c>
      <c r="K112" s="1196"/>
      <c r="L112" s="969"/>
      <c r="M112" s="1196"/>
      <c r="O112" s="175" t="s">
        <v>116</v>
      </c>
      <c r="P112" s="987" t="e">
        <f t="shared" ref="P112:P149" si="6">Q112+U112+W112</f>
        <v>#REF!</v>
      </c>
      <c r="Q112" s="1007" t="e">
        <f>Q111/VLOOKUP($C111,#REF!,8,0)</f>
        <v>#REF!</v>
      </c>
      <c r="R112" s="1203"/>
      <c r="T112" s="175" t="s">
        <v>116</v>
      </c>
      <c r="U112" s="1007"/>
      <c r="V112" s="1185"/>
      <c r="W112" s="969"/>
      <c r="X112" s="969"/>
      <c r="Y112" s="969"/>
      <c r="AA112" s="969"/>
      <c r="AD112" s="33" t="str">
        <f>C111&amp;F112</f>
        <v>EgyptUSD bn</v>
      </c>
    </row>
    <row r="113" spans="1:30" ht="107.5" customHeight="1">
      <c r="A113" s="1268"/>
      <c r="B113" s="1268"/>
      <c r="C113" s="1257"/>
      <c r="D113" s="1254"/>
      <c r="E113" s="12"/>
      <c r="F113" s="53" t="s">
        <v>117</v>
      </c>
      <c r="G113" s="252" t="e">
        <f>(G111/VLOOKUP(C111,#REF!,4,0))*100</f>
        <v>#REF!</v>
      </c>
      <c r="H113" s="252" t="e">
        <f>(H111/VLOOKUP($C111,#REF!,4,0))*100</f>
        <v>#REF!</v>
      </c>
      <c r="I113" s="1197"/>
      <c r="J113" s="991" t="e">
        <f>(J111/VLOOKUP(C111,#REF!,4,0))*100</f>
        <v>#REF!</v>
      </c>
      <c r="K113" s="1197"/>
      <c r="L113" s="970"/>
      <c r="M113" s="1197"/>
      <c r="N113" s="12"/>
      <c r="O113" s="53" t="s">
        <v>117</v>
      </c>
      <c r="P113" s="17" t="e">
        <f t="shared" si="6"/>
        <v>#REF!</v>
      </c>
      <c r="Q113" s="252" t="e">
        <f>(Q111/VLOOKUP($C111,#REF!,4,0))*100</f>
        <v>#REF!</v>
      </c>
      <c r="R113" s="1204"/>
      <c r="S113" s="12"/>
      <c r="T113" s="53" t="s">
        <v>117</v>
      </c>
      <c r="U113" s="252"/>
      <c r="V113" s="1186"/>
      <c r="W113" s="970"/>
      <c r="X113" s="970"/>
      <c r="Y113" s="970"/>
      <c r="Z113" s="52"/>
      <c r="AA113" s="990"/>
      <c r="AD113" s="33" t="str">
        <f>C111&amp;F113</f>
        <v>Egypt% GDP</v>
      </c>
    </row>
    <row r="114" spans="1:30" ht="125.5" customHeight="1">
      <c r="A114" s="1268">
        <v>0</v>
      </c>
      <c r="B114" s="1268" t="s">
        <v>861</v>
      </c>
      <c r="C114" s="1256" t="s">
        <v>549</v>
      </c>
      <c r="D114" s="1266" t="s">
        <v>570</v>
      </c>
      <c r="E114" s="35"/>
      <c r="F114" s="38" t="s">
        <v>115</v>
      </c>
      <c r="G114" s="502">
        <f>2.06+1.142</f>
        <v>3.202</v>
      </c>
      <c r="H114" s="503">
        <f>0.523+0.45</f>
        <v>0.97300000000000009</v>
      </c>
      <c r="I114" s="1270" t="s">
        <v>781</v>
      </c>
      <c r="J114" s="503">
        <f>G114-H114</f>
        <v>2.2290000000000001</v>
      </c>
      <c r="K114" s="1193" t="s">
        <v>1385</v>
      </c>
      <c r="L114" s="969"/>
      <c r="M114" s="1193" t="s">
        <v>816</v>
      </c>
      <c r="N114" s="509"/>
      <c r="O114" s="175" t="s">
        <v>115</v>
      </c>
      <c r="P114" s="502">
        <f>Q114+U114+W114</f>
        <v>7.0000000000000007E-2</v>
      </c>
      <c r="Q114" s="502">
        <v>7.0000000000000007E-2</v>
      </c>
      <c r="R114" s="1193" t="s">
        <v>784</v>
      </c>
      <c r="S114" s="35"/>
      <c r="T114" s="175" t="s">
        <v>115</v>
      </c>
      <c r="U114" s="489"/>
      <c r="V114" s="1184" t="s">
        <v>1368</v>
      </c>
      <c r="W114" s="969"/>
      <c r="X114" s="969"/>
      <c r="Y114" s="969"/>
      <c r="AA114" s="989"/>
      <c r="AD114" s="33" t="str">
        <f>C114&amp;F114</f>
        <v>GeorgiaLC bn</v>
      </c>
    </row>
    <row r="115" spans="1:30" ht="131.5" customHeight="1">
      <c r="A115" s="1268"/>
      <c r="B115" s="1268"/>
      <c r="C115" s="1256"/>
      <c r="D115" s="1266"/>
      <c r="E115" s="35"/>
      <c r="F115" s="175" t="s">
        <v>116</v>
      </c>
      <c r="G115" s="258" t="e">
        <f>G114/VLOOKUP($C114,#REF!,8,0)</f>
        <v>#REF!</v>
      </c>
      <c r="H115" s="258" t="e">
        <f>H114/VLOOKUP($C114,#REF!,8,0)</f>
        <v>#REF!</v>
      </c>
      <c r="I115" s="1216"/>
      <c r="J115" s="258" t="e">
        <f>J114/VLOOKUP($C114,#REF!,8,0)</f>
        <v>#REF!</v>
      </c>
      <c r="K115" s="1216"/>
      <c r="L115" s="258"/>
      <c r="M115" s="1216"/>
      <c r="N115" s="509"/>
      <c r="O115" s="175" t="s">
        <v>116</v>
      </c>
      <c r="P115" s="1007" t="e">
        <f>Q115+U115+W115</f>
        <v>#REF!</v>
      </c>
      <c r="Q115" s="77" t="e">
        <f>Q114/#REF!</f>
        <v>#REF!</v>
      </c>
      <c r="R115" s="1216"/>
      <c r="S115" s="35"/>
      <c r="T115" s="175" t="s">
        <v>116</v>
      </c>
      <c r="U115" s="258"/>
      <c r="V115" s="1185"/>
      <c r="W115" s="969"/>
      <c r="X115" s="969"/>
      <c r="Y115" s="969"/>
      <c r="AA115" s="989"/>
      <c r="AD115" s="33" t="str">
        <f>C114&amp;F115</f>
        <v>GeorgiaUSD bn</v>
      </c>
    </row>
    <row r="116" spans="1:30" ht="129.65" customHeight="1">
      <c r="A116" s="1268"/>
      <c r="B116" s="1268"/>
      <c r="C116" s="1257"/>
      <c r="D116" s="1261"/>
      <c r="E116" s="35"/>
      <c r="F116" s="53" t="s">
        <v>117</v>
      </c>
      <c r="G116" s="252" t="e">
        <f>(G114/VLOOKUP($C114,#REF!,4,0))*100</f>
        <v>#REF!</v>
      </c>
      <c r="H116" s="252" t="e">
        <f>(H114/VLOOKUP($C114,#REF!,4,0))*100</f>
        <v>#REF!</v>
      </c>
      <c r="I116" s="1197"/>
      <c r="J116" s="252" t="e">
        <f>(J114/VLOOKUP($C114,#REF!,4,0))*100</f>
        <v>#REF!</v>
      </c>
      <c r="K116" s="1197"/>
      <c r="L116" s="252"/>
      <c r="M116" s="1197"/>
      <c r="N116" s="509"/>
      <c r="O116" s="53" t="s">
        <v>117</v>
      </c>
      <c r="P116" s="252" t="e">
        <f>Q116+U116+W116</f>
        <v>#REF!</v>
      </c>
      <c r="Q116" s="78" t="e">
        <f>Q114/#REF!*100</f>
        <v>#REF!</v>
      </c>
      <c r="R116" s="1197"/>
      <c r="S116" s="35"/>
      <c r="T116" s="53" t="s">
        <v>117</v>
      </c>
      <c r="U116" s="252"/>
      <c r="V116" s="1186"/>
      <c r="W116" s="969"/>
      <c r="X116" s="969"/>
      <c r="Y116" s="969"/>
      <c r="AA116" s="989"/>
      <c r="AD116" s="33" t="str">
        <f>C114&amp;F116</f>
        <v>Georgia% GDP</v>
      </c>
    </row>
    <row r="117" spans="1:30" s="997" customFormat="1" ht="88" customHeight="1">
      <c r="A117" s="1268">
        <v>0</v>
      </c>
      <c r="B117" s="1268" t="s">
        <v>861</v>
      </c>
      <c r="C117" s="1282" t="s">
        <v>35</v>
      </c>
      <c r="D117" s="1266" t="s">
        <v>571</v>
      </c>
      <c r="E117" s="504"/>
      <c r="F117" s="505" t="s">
        <v>115</v>
      </c>
      <c r="G117" s="186">
        <v>1638</v>
      </c>
      <c r="H117" s="981" t="s">
        <v>84</v>
      </c>
      <c r="I117" s="1193" t="s">
        <v>638</v>
      </c>
      <c r="J117" s="981" t="s">
        <v>84</v>
      </c>
      <c r="K117" s="1193" t="s">
        <v>1198</v>
      </c>
      <c r="L117" s="981" t="s">
        <v>84</v>
      </c>
      <c r="M117" s="1193" t="s">
        <v>809</v>
      </c>
      <c r="N117" s="996"/>
      <c r="O117" s="38" t="s">
        <v>115</v>
      </c>
      <c r="P117" s="186">
        <f>Q117+W117</f>
        <v>2100</v>
      </c>
      <c r="Q117" s="186">
        <v>1300</v>
      </c>
      <c r="R117" s="1193" t="s">
        <v>655</v>
      </c>
      <c r="S117" s="996"/>
      <c r="T117" s="38" t="s">
        <v>115</v>
      </c>
      <c r="U117" s="255"/>
      <c r="V117" s="1193" t="s">
        <v>576</v>
      </c>
      <c r="W117" s="979">
        <v>800</v>
      </c>
      <c r="X117" s="1193" t="s">
        <v>1386</v>
      </c>
      <c r="Y117" s="968"/>
      <c r="Z117" s="996"/>
      <c r="AA117" s="968"/>
      <c r="AD117" s="33" t="str">
        <f>C117&amp;F117</f>
        <v>KazakhstanLC bn</v>
      </c>
    </row>
    <row r="118" spans="1:30" s="997" customFormat="1" ht="88" customHeight="1">
      <c r="A118" s="1268"/>
      <c r="B118" s="1268"/>
      <c r="C118" s="1282"/>
      <c r="D118" s="1266"/>
      <c r="E118" s="184"/>
      <c r="F118" s="506" t="s">
        <v>116</v>
      </c>
      <c r="G118" s="258" t="e">
        <f>G117/VLOOKUP($C117,#REF!,8,0)</f>
        <v>#REF!</v>
      </c>
      <c r="H118" s="982"/>
      <c r="I118" s="1216"/>
      <c r="J118" s="980"/>
      <c r="K118" s="1216"/>
      <c r="L118" s="969"/>
      <c r="M118" s="1216"/>
      <c r="O118" s="175" t="s">
        <v>116</v>
      </c>
      <c r="P118" s="412" t="e">
        <f t="shared" si="6"/>
        <v>#REF!</v>
      </c>
      <c r="Q118" s="258" t="e">
        <f>Q117/VLOOKUP($C117,#REF!,8,0)</f>
        <v>#REF!</v>
      </c>
      <c r="R118" s="1216"/>
      <c r="T118" s="175" t="s">
        <v>116</v>
      </c>
      <c r="U118" s="1007"/>
      <c r="V118" s="1216"/>
      <c r="W118" s="258" t="e">
        <f>W117/VLOOKUP($C117,#REF!,8,0)</f>
        <v>#REF!</v>
      </c>
      <c r="X118" s="1216"/>
      <c r="Y118" s="969"/>
      <c r="AA118" s="969"/>
      <c r="AD118" s="33" t="str">
        <f>C117&amp;F118</f>
        <v>KazakhstanUSD bn</v>
      </c>
    </row>
    <row r="119" spans="1:30" ht="88" customHeight="1">
      <c r="A119" s="1268"/>
      <c r="B119" s="1268"/>
      <c r="C119" s="1283"/>
      <c r="D119" s="1261"/>
      <c r="E119" s="507"/>
      <c r="F119" s="508" t="s">
        <v>117</v>
      </c>
      <c r="G119" s="252" t="e">
        <f>(G117/VLOOKUP($C117,#REF!,4,0))*100</f>
        <v>#REF!</v>
      </c>
      <c r="H119" s="983"/>
      <c r="I119" s="1197"/>
      <c r="J119" s="991"/>
      <c r="K119" s="1197"/>
      <c r="L119" s="970"/>
      <c r="M119" s="1197"/>
      <c r="N119" s="12"/>
      <c r="O119" s="53" t="s">
        <v>117</v>
      </c>
      <c r="P119" s="499" t="e">
        <f t="shared" si="6"/>
        <v>#REF!</v>
      </c>
      <c r="Q119" s="252" t="e">
        <f>(Q117/VLOOKUP($C117,#REF!,4,0))*100</f>
        <v>#REF!</v>
      </c>
      <c r="R119" s="1197"/>
      <c r="S119" s="12"/>
      <c r="T119" s="53" t="s">
        <v>117</v>
      </c>
      <c r="U119" s="252"/>
      <c r="V119" s="1197"/>
      <c r="W119" s="252" t="e">
        <f>(W117/VLOOKUP($C117,#REF!,4,0))*100</f>
        <v>#REF!</v>
      </c>
      <c r="X119" s="1197"/>
      <c r="Y119" s="970"/>
      <c r="Z119" s="52"/>
      <c r="AA119" s="990"/>
      <c r="AD119" s="33" t="str">
        <f>C117&amp;F119</f>
        <v>Kazakhstan% GDP</v>
      </c>
    </row>
    <row r="120" spans="1:30" ht="116.15" customHeight="1">
      <c r="A120" s="1268">
        <v>0</v>
      </c>
      <c r="B120" s="1268" t="s">
        <v>861</v>
      </c>
      <c r="C120" s="1256" t="s">
        <v>92</v>
      </c>
      <c r="D120" s="1266" t="s">
        <v>570</v>
      </c>
      <c r="E120" s="996"/>
      <c r="F120" s="38" t="s">
        <v>115</v>
      </c>
      <c r="G120" s="1006">
        <f>H120+J120</f>
        <v>44.3</v>
      </c>
      <c r="H120" s="981">
        <v>1.3</v>
      </c>
      <c r="I120" s="1193" t="s">
        <v>639</v>
      </c>
      <c r="J120" s="1006">
        <v>43</v>
      </c>
      <c r="K120" s="1193" t="s">
        <v>1444</v>
      </c>
      <c r="L120" s="968"/>
      <c r="M120" s="968"/>
      <c r="N120" s="996"/>
      <c r="O120" s="175" t="s">
        <v>115</v>
      </c>
      <c r="P120" s="496">
        <f t="shared" si="6"/>
        <v>149.19999999999999</v>
      </c>
      <c r="Q120" s="276">
        <f>4+0.2</f>
        <v>4.2</v>
      </c>
      <c r="R120" s="1193" t="s">
        <v>729</v>
      </c>
      <c r="S120" s="996"/>
      <c r="T120" s="175" t="s">
        <v>115</v>
      </c>
      <c r="U120" s="255"/>
      <c r="V120" s="1184"/>
      <c r="W120" s="968">
        <v>145</v>
      </c>
      <c r="X120" s="1184" t="s">
        <v>1445</v>
      </c>
      <c r="Y120" s="968"/>
      <c r="Z120" s="996"/>
      <c r="AA120" s="968"/>
      <c r="AD120" s="33" t="str">
        <f>C120&amp;F120</f>
        <v>MauritiusLC bn</v>
      </c>
    </row>
    <row r="121" spans="1:30" ht="121" customHeight="1">
      <c r="A121" s="1268"/>
      <c r="B121" s="1268"/>
      <c r="C121" s="1256"/>
      <c r="D121" s="1266"/>
      <c r="E121" s="997"/>
      <c r="F121" s="175" t="s">
        <v>116</v>
      </c>
      <c r="G121" s="258" t="e">
        <f>G120/VLOOKUP(C120,#REF!,8,0)</f>
        <v>#REF!</v>
      </c>
      <c r="H121" s="258" t="e">
        <f>H120/VLOOKUP($C120,#REF!,8,0)</f>
        <v>#REF!</v>
      </c>
      <c r="I121" s="1216"/>
      <c r="J121" s="258" t="e">
        <f>J120/VLOOKUP($C120,#REF!,8,0)</f>
        <v>#REF!</v>
      </c>
      <c r="K121" s="1216"/>
      <c r="L121" s="969"/>
      <c r="M121" s="969"/>
      <c r="N121" s="997"/>
      <c r="O121" s="175" t="s">
        <v>116</v>
      </c>
      <c r="P121" s="412" t="e">
        <f t="shared" si="6"/>
        <v>#REF!</v>
      </c>
      <c r="Q121" s="269" t="e">
        <f>Q120/VLOOKUP(C120,#REF!,8,0)</f>
        <v>#REF!</v>
      </c>
      <c r="R121" s="1216"/>
      <c r="S121" s="997"/>
      <c r="T121" s="175" t="s">
        <v>116</v>
      </c>
      <c r="U121" s="269"/>
      <c r="V121" s="1185"/>
      <c r="W121" s="410" t="e">
        <f>W120/VLOOKUP(C120,#REF!,8,0)</f>
        <v>#REF!</v>
      </c>
      <c r="X121" s="1185"/>
      <c r="Y121" s="969"/>
      <c r="Z121" s="997"/>
      <c r="AA121" s="969"/>
      <c r="AD121" s="33" t="str">
        <f>C120&amp;F121</f>
        <v>MauritiusUSD bn</v>
      </c>
    </row>
    <row r="122" spans="1:30" ht="127" customHeight="1">
      <c r="A122" s="1268"/>
      <c r="B122" s="1268"/>
      <c r="C122" s="1257"/>
      <c r="D122" s="1261"/>
      <c r="E122" s="12"/>
      <c r="F122" s="53" t="s">
        <v>117</v>
      </c>
      <c r="G122" s="252" t="e">
        <f>(G120/VLOOKUP(C120,#REF!,4,0))*100</f>
        <v>#REF!</v>
      </c>
      <c r="H122" s="252" t="e">
        <f>(H120/VLOOKUP($C120,#REF!,4,0))*100</f>
        <v>#REF!</v>
      </c>
      <c r="I122" s="1197"/>
      <c r="J122" s="252" t="e">
        <f>J120/VLOOKUP($C120,#REF!,4,0)*100</f>
        <v>#REF!</v>
      </c>
      <c r="K122" s="1197"/>
      <c r="L122" s="970"/>
      <c r="M122" s="970"/>
      <c r="N122" s="12"/>
      <c r="O122" s="53" t="s">
        <v>117</v>
      </c>
      <c r="P122" s="499" t="e">
        <f t="shared" si="6"/>
        <v>#REF!</v>
      </c>
      <c r="Q122" s="267" t="e">
        <f>(Q120/VLOOKUP(C120,#REF!,4,0))*100</f>
        <v>#REF!</v>
      </c>
      <c r="R122" s="1197"/>
      <c r="S122" s="12"/>
      <c r="T122" s="53" t="s">
        <v>117</v>
      </c>
      <c r="U122" s="267"/>
      <c r="V122" s="1186"/>
      <c r="W122" s="411" t="e">
        <f>(W120/VLOOKUP(C120,#REF!,4,0))*100</f>
        <v>#REF!</v>
      </c>
      <c r="X122" s="1186"/>
      <c r="Y122" s="970"/>
      <c r="Z122" s="52"/>
      <c r="AA122" s="990"/>
      <c r="AD122" s="33" t="str">
        <f>C120&amp;F122</f>
        <v>Mauritius% GDP</v>
      </c>
    </row>
    <row r="123" spans="1:30" ht="83.5" customHeight="1">
      <c r="A123" s="1002"/>
      <c r="B123" s="1002"/>
      <c r="C123" s="1255" t="s">
        <v>963</v>
      </c>
      <c r="D123" s="1252" t="s">
        <v>570</v>
      </c>
      <c r="E123" s="37"/>
      <c r="F123" s="175" t="s">
        <v>115</v>
      </c>
      <c r="G123" s="1007">
        <f>H123+J123</f>
        <v>19.510953139008002</v>
      </c>
      <c r="H123" s="961">
        <v>0.67279148755200013</v>
      </c>
      <c r="I123" s="1220" t="s">
        <v>1280</v>
      </c>
      <c r="J123" s="962">
        <v>18.838161651456002</v>
      </c>
      <c r="K123" s="1190" t="s">
        <v>1252</v>
      </c>
      <c r="L123" s="969"/>
      <c r="M123" s="1184"/>
      <c r="N123" s="37"/>
      <c r="O123" s="175" t="s">
        <v>115</v>
      </c>
      <c r="P123" s="964">
        <f t="shared" si="6"/>
        <v>19.510953139007999</v>
      </c>
      <c r="Q123" s="277"/>
      <c r="R123" s="969"/>
      <c r="S123" s="37"/>
      <c r="T123" s="175" t="s">
        <v>115</v>
      </c>
      <c r="U123" s="1007"/>
      <c r="V123" s="1193"/>
      <c r="W123" s="963">
        <v>19.510953139007999</v>
      </c>
      <c r="X123" s="969"/>
      <c r="Y123" s="969"/>
      <c r="AA123" s="989"/>
      <c r="AD123" s="33" t="str">
        <f t="shared" ref="AD123" si="7">C123&amp;F123</f>
        <v>North MacedoniaLC bn</v>
      </c>
    </row>
    <row r="124" spans="1:30" ht="67.5" customHeight="1">
      <c r="A124" s="1002">
        <v>0</v>
      </c>
      <c r="B124" s="1002" t="s">
        <v>861</v>
      </c>
      <c r="C124" s="1256"/>
      <c r="D124" s="1253"/>
      <c r="E124" s="37"/>
      <c r="F124" s="175" t="s">
        <v>116</v>
      </c>
      <c r="G124" s="258" t="e">
        <f>G123/VLOOKUP($C123,#REF!,8,0)</f>
        <v>#REF!</v>
      </c>
      <c r="H124" s="258" t="e">
        <f>H123/VLOOKUP($C123,#REF!,8,0)</f>
        <v>#REF!</v>
      </c>
      <c r="I124" s="1221"/>
      <c r="J124" s="258" t="e">
        <f>J123/VLOOKUP($C123,#REF!,8,0)</f>
        <v>#REF!</v>
      </c>
      <c r="K124" s="1191"/>
      <c r="L124" s="969"/>
      <c r="M124" s="1185"/>
      <c r="N124" s="37"/>
      <c r="O124" s="175" t="s">
        <v>116</v>
      </c>
      <c r="P124" s="412" t="e">
        <f t="shared" si="6"/>
        <v>#REF!</v>
      </c>
      <c r="Q124" s="277"/>
      <c r="R124" s="969"/>
      <c r="S124" s="37"/>
      <c r="T124" s="175" t="s">
        <v>116</v>
      </c>
      <c r="U124" s="258"/>
      <c r="V124" s="1196"/>
      <c r="W124" s="258" t="e">
        <f>W123/VLOOKUP($C123,#REF!,8,0)</f>
        <v>#REF!</v>
      </c>
      <c r="X124" s="969" t="s">
        <v>1281</v>
      </c>
      <c r="Y124" s="969"/>
      <c r="AA124" s="989"/>
      <c r="AD124" s="33" t="str">
        <f t="shared" ref="AD124" si="8">C123&amp;F124</f>
        <v>North MacedoniaUSD bn</v>
      </c>
    </row>
    <row r="125" spans="1:30" ht="58.5" customHeight="1">
      <c r="A125" s="1002"/>
      <c r="B125" s="1002"/>
      <c r="C125" s="1257"/>
      <c r="D125" s="1254"/>
      <c r="E125" s="12"/>
      <c r="F125" s="53" t="s">
        <v>117</v>
      </c>
      <c r="G125" s="252" t="e">
        <f>(G123/VLOOKUP($C123,#REF!,4,0))*100</f>
        <v>#REF!</v>
      </c>
      <c r="H125" s="252" t="e">
        <f>(H123/VLOOKUP($C123,#REF!,4,0))*100</f>
        <v>#REF!</v>
      </c>
      <c r="I125" s="1222"/>
      <c r="J125" s="252" t="e">
        <f>J123/VLOOKUP($C123,#REF!,4,0)*100</f>
        <v>#REF!</v>
      </c>
      <c r="K125" s="1192"/>
      <c r="L125" s="970"/>
      <c r="M125" s="1186"/>
      <c r="N125" s="12"/>
      <c r="O125" s="53" t="s">
        <v>117</v>
      </c>
      <c r="P125" s="499" t="e">
        <f t="shared" si="6"/>
        <v>#REF!</v>
      </c>
      <c r="Q125" s="267"/>
      <c r="R125" s="1004"/>
      <c r="S125" s="12"/>
      <c r="T125" s="53" t="s">
        <v>117</v>
      </c>
      <c r="U125" s="252"/>
      <c r="V125" s="1197"/>
      <c r="W125" s="252" t="e">
        <f>(W123/VLOOKUP($C123,#REF!,4,0))*100</f>
        <v>#REF!</v>
      </c>
      <c r="X125" s="970"/>
      <c r="Y125" s="969"/>
      <c r="AA125" s="989"/>
      <c r="AD125" s="33" t="str">
        <f t="shared" ref="AD125" si="9">C123&amp;F125</f>
        <v>North Macedonia% GDP</v>
      </c>
    </row>
    <row r="126" spans="1:30" ht="83.5" customHeight="1">
      <c r="A126" s="1268">
        <v>0</v>
      </c>
      <c r="B126" s="1268" t="s">
        <v>861</v>
      </c>
      <c r="C126" s="1282" t="s">
        <v>554</v>
      </c>
      <c r="D126" s="1266" t="s">
        <v>571</v>
      </c>
      <c r="E126" s="509"/>
      <c r="F126" s="505" t="s">
        <v>115</v>
      </c>
      <c r="G126" s="510">
        <f>H126+J126</f>
        <v>828</v>
      </c>
      <c r="H126" s="510">
        <v>178</v>
      </c>
      <c r="I126" s="1184" t="s">
        <v>725</v>
      </c>
      <c r="J126" s="250">
        <f>600+50</f>
        <v>650</v>
      </c>
      <c r="K126" s="1184" t="s">
        <v>1443</v>
      </c>
      <c r="L126" s="250">
        <v>480</v>
      </c>
      <c r="M126" s="1184" t="s">
        <v>727</v>
      </c>
      <c r="N126" s="35"/>
      <c r="O126" s="505" t="s">
        <v>115</v>
      </c>
      <c r="P126" s="986" t="s">
        <v>84</v>
      </c>
      <c r="Q126" s="269"/>
      <c r="R126" s="969"/>
      <c r="S126" s="35"/>
      <c r="T126" s="505" t="s">
        <v>115</v>
      </c>
      <c r="U126" s="258" t="s">
        <v>84</v>
      </c>
      <c r="V126" s="1184" t="s">
        <v>1387</v>
      </c>
      <c r="W126" s="969" t="s">
        <v>84</v>
      </c>
      <c r="X126" s="1202"/>
      <c r="Y126" s="969"/>
      <c r="AA126" s="989"/>
      <c r="AD126" s="33" t="str">
        <f>C126&amp;F126</f>
        <v>PakistanLC bn</v>
      </c>
    </row>
    <row r="127" spans="1:30" ht="58.5" customHeight="1">
      <c r="A127" s="1268"/>
      <c r="B127" s="1268"/>
      <c r="C127" s="1282"/>
      <c r="D127" s="1266"/>
      <c r="E127" s="509"/>
      <c r="F127" s="506" t="s">
        <v>116</v>
      </c>
      <c r="G127" s="258" t="e">
        <f>G126/VLOOKUP($C126,#REF!,8,0)</f>
        <v>#REF!</v>
      </c>
      <c r="H127" s="258" t="e">
        <f>H126/VLOOKUP($C126,#REF!,8,0)</f>
        <v>#REF!</v>
      </c>
      <c r="I127" s="1219"/>
      <c r="J127" s="258" t="e">
        <f>J126/VLOOKUP($C126,#REF!,8,0)</f>
        <v>#REF!</v>
      </c>
      <c r="K127" s="1219"/>
      <c r="L127" s="258" t="e">
        <f>L126/VLOOKUP($C126,#REF!,8,0)</f>
        <v>#REF!</v>
      </c>
      <c r="M127" s="1219"/>
      <c r="N127" s="35"/>
      <c r="O127" s="506" t="s">
        <v>116</v>
      </c>
      <c r="P127" s="412"/>
      <c r="Q127" s="258"/>
      <c r="R127" s="969"/>
      <c r="S127" s="35"/>
      <c r="T127" s="506" t="s">
        <v>116</v>
      </c>
      <c r="U127" s="258"/>
      <c r="V127" s="1185"/>
      <c r="W127" s="969"/>
      <c r="X127" s="1308"/>
      <c r="Y127" s="969"/>
      <c r="AA127" s="989"/>
      <c r="AD127" s="33" t="str">
        <f>C126&amp;F127</f>
        <v>PakistanUSD bn</v>
      </c>
    </row>
    <row r="128" spans="1:30" ht="58.5" customHeight="1">
      <c r="A128" s="1268"/>
      <c r="B128" s="1268"/>
      <c r="C128" s="1283"/>
      <c r="D128" s="1261"/>
      <c r="E128" s="509"/>
      <c r="F128" s="508" t="s">
        <v>117</v>
      </c>
      <c r="G128" s="252" t="e">
        <f>(G126/VLOOKUP($C126,#REF!,4,0))*100</f>
        <v>#REF!</v>
      </c>
      <c r="H128" s="252" t="e">
        <f>(H126/VLOOKUP($C126,#REF!,4,0))*100</f>
        <v>#REF!</v>
      </c>
      <c r="I128" s="1186"/>
      <c r="J128" s="252" t="e">
        <f>(J126/VLOOKUP($C126,#REF!,4,0))*100</f>
        <v>#REF!</v>
      </c>
      <c r="K128" s="1186"/>
      <c r="L128" s="252" t="e">
        <f>(L126/VLOOKUP($C126,#REF!,4,0))*100</f>
        <v>#REF!</v>
      </c>
      <c r="M128" s="1186"/>
      <c r="N128" s="12"/>
      <c r="O128" s="508" t="s">
        <v>117</v>
      </c>
      <c r="P128" s="499"/>
      <c r="Q128" s="252"/>
      <c r="R128" s="970"/>
      <c r="S128" s="12"/>
      <c r="T128" s="508" t="s">
        <v>117</v>
      </c>
      <c r="U128" s="252"/>
      <c r="V128" s="1186"/>
      <c r="W128" s="970"/>
      <c r="X128" s="1204"/>
      <c r="Y128" s="969"/>
      <c r="AA128" s="989"/>
      <c r="AD128" s="33" t="str">
        <f>C126&amp;F128</f>
        <v>Pakistan% GDP</v>
      </c>
    </row>
    <row r="129" spans="1:30" ht="48.65" customHeight="1">
      <c r="A129" s="1268">
        <v>0</v>
      </c>
      <c r="B129" s="1268" t="s">
        <v>861</v>
      </c>
      <c r="C129" s="1256" t="s">
        <v>555</v>
      </c>
      <c r="D129" s="1266" t="s">
        <v>570</v>
      </c>
      <c r="E129" s="509"/>
      <c r="F129" s="505" t="s">
        <v>115</v>
      </c>
      <c r="G129" s="510">
        <f>H129+J129</f>
        <v>37.332999999999998</v>
      </c>
      <c r="H129" s="502">
        <v>5.3330000000000002</v>
      </c>
      <c r="I129" s="1193" t="s">
        <v>641</v>
      </c>
      <c r="J129" s="510">
        <v>32</v>
      </c>
      <c r="K129" s="1193" t="s">
        <v>1200</v>
      </c>
      <c r="L129" s="510">
        <v>12</v>
      </c>
      <c r="M129" s="1193" t="s">
        <v>1246</v>
      </c>
      <c r="N129" s="509"/>
      <c r="O129" s="505" t="s">
        <v>115</v>
      </c>
      <c r="P129" s="744">
        <f t="shared" si="6"/>
        <v>75.599999999999994</v>
      </c>
      <c r="Q129" s="258">
        <v>8.6</v>
      </c>
      <c r="R129" s="977"/>
      <c r="S129" s="509"/>
      <c r="T129" s="505" t="s">
        <v>115</v>
      </c>
      <c r="U129" s="510">
        <v>67</v>
      </c>
      <c r="V129" s="1193" t="s">
        <v>1201</v>
      </c>
      <c r="W129" s="502"/>
      <c r="X129" s="1241"/>
      <c r="Y129" s="969"/>
      <c r="AA129" s="989"/>
      <c r="AD129" s="33" t="str">
        <f>C129&amp;F129</f>
        <v>PeruLC bn</v>
      </c>
    </row>
    <row r="130" spans="1:30" ht="48.65" customHeight="1">
      <c r="A130" s="1268"/>
      <c r="B130" s="1268"/>
      <c r="C130" s="1256"/>
      <c r="D130" s="1266"/>
      <c r="E130" s="509"/>
      <c r="F130" s="506" t="s">
        <v>116</v>
      </c>
      <c r="G130" s="251" t="e">
        <f>G129/VLOOKUP($C129,#REF!,8,0)</f>
        <v>#REF!</v>
      </c>
      <c r="H130" s="258" t="e">
        <f>H129/VLOOKUP($C129,#REF!,8,0)</f>
        <v>#REF!</v>
      </c>
      <c r="I130" s="1216"/>
      <c r="J130" s="251" t="e">
        <f>J129/VLOOKUP($C129,#REF!,8,0)</f>
        <v>#REF!</v>
      </c>
      <c r="K130" s="1216"/>
      <c r="L130" s="258" t="e">
        <f>L129/VLOOKUP($C129,#REF!,8,0)</f>
        <v>#REF!</v>
      </c>
      <c r="M130" s="1216"/>
      <c r="N130" s="509"/>
      <c r="O130" s="506" t="s">
        <v>116</v>
      </c>
      <c r="P130" s="745" t="e">
        <f t="shared" si="6"/>
        <v>#REF!</v>
      </c>
      <c r="Q130" s="258"/>
      <c r="R130" s="977"/>
      <c r="S130" s="509"/>
      <c r="T130" s="506" t="s">
        <v>116</v>
      </c>
      <c r="U130" s="251" t="e">
        <f>U129/VLOOKUP($C129,#REF!,8,0)</f>
        <v>#REF!</v>
      </c>
      <c r="V130" s="1216"/>
      <c r="W130" s="977"/>
      <c r="X130" s="1284"/>
      <c r="Y130" s="969"/>
      <c r="AA130" s="989"/>
      <c r="AD130" s="33" t="str">
        <f>C129&amp;F130</f>
        <v>PeruUSD bn</v>
      </c>
    </row>
    <row r="131" spans="1:30" ht="49.5" customHeight="1">
      <c r="A131" s="1268"/>
      <c r="B131" s="1268"/>
      <c r="C131" s="1257"/>
      <c r="D131" s="1261"/>
      <c r="E131" s="509"/>
      <c r="F131" s="508" t="s">
        <v>117</v>
      </c>
      <c r="G131" s="252" t="e">
        <f>(G129/VLOOKUP($C129,#REF!,4,0))*100</f>
        <v>#REF!</v>
      </c>
      <c r="H131" s="252" t="e">
        <f>(H129/VLOOKUP($C129,#REF!,4,0))*100</f>
        <v>#REF!</v>
      </c>
      <c r="I131" s="1197"/>
      <c r="J131" s="252" t="e">
        <f>(J129/VLOOKUP($C129,#REF!,4,0))*100</f>
        <v>#REF!</v>
      </c>
      <c r="K131" s="1197"/>
      <c r="L131" s="252" t="e">
        <f>(L129/VLOOKUP($C129,#REF!,4,0))*100</f>
        <v>#REF!</v>
      </c>
      <c r="M131" s="1197"/>
      <c r="N131" s="507"/>
      <c r="O131" s="508" t="s">
        <v>117</v>
      </c>
      <c r="P131" s="746" t="e">
        <f t="shared" si="6"/>
        <v>#REF!</v>
      </c>
      <c r="Q131" s="252"/>
      <c r="R131" s="978"/>
      <c r="S131" s="507"/>
      <c r="T131" s="508" t="s">
        <v>117</v>
      </c>
      <c r="U131" s="252" t="e">
        <f>(U129/VLOOKUP($C129,#REF!,4,0))*100</f>
        <v>#REF!</v>
      </c>
      <c r="V131" s="1197"/>
      <c r="W131" s="978"/>
      <c r="X131" s="1243"/>
      <c r="Y131" s="969"/>
      <c r="AA131" s="989"/>
      <c r="AD131" s="33" t="str">
        <f>C129&amp;F131</f>
        <v>Peru% GDP</v>
      </c>
    </row>
    <row r="132" spans="1:30" ht="58.5" customHeight="1">
      <c r="A132" s="1268">
        <v>0</v>
      </c>
      <c r="B132" s="1268" t="s">
        <v>861</v>
      </c>
      <c r="C132" s="1256" t="s">
        <v>556</v>
      </c>
      <c r="D132" s="1266" t="s">
        <v>571</v>
      </c>
      <c r="E132" s="509"/>
      <c r="F132" s="505" t="s">
        <v>115</v>
      </c>
      <c r="G132" s="510">
        <f>H132+J132</f>
        <v>457.6</v>
      </c>
      <c r="H132" s="510">
        <v>84.6</v>
      </c>
      <c r="I132" s="1193" t="s">
        <v>790</v>
      </c>
      <c r="J132" s="510">
        <v>373</v>
      </c>
      <c r="K132" s="1193" t="s">
        <v>1464</v>
      </c>
      <c r="L132" s="502"/>
      <c r="M132" s="969"/>
      <c r="N132" s="35"/>
      <c r="O132" s="505" t="s">
        <v>115</v>
      </c>
      <c r="P132" s="496">
        <f t="shared" si="6"/>
        <v>165.8</v>
      </c>
      <c r="Q132" s="510">
        <v>45.8</v>
      </c>
      <c r="R132" s="1193" t="s">
        <v>810</v>
      </c>
      <c r="S132" s="35"/>
      <c r="T132" s="505" t="s">
        <v>115</v>
      </c>
      <c r="U132" s="510">
        <v>120</v>
      </c>
      <c r="V132" s="1193" t="s">
        <v>579</v>
      </c>
      <c r="W132" s="502"/>
      <c r="X132" s="1193" t="s">
        <v>580</v>
      </c>
      <c r="Y132" s="969"/>
      <c r="AA132" s="989"/>
      <c r="AD132" s="33" t="str">
        <f>C132&amp;F132</f>
        <v>PhilippinesLC bn</v>
      </c>
    </row>
    <row r="133" spans="1:30" ht="43.5" customHeight="1">
      <c r="A133" s="1268"/>
      <c r="B133" s="1268"/>
      <c r="C133" s="1256"/>
      <c r="D133" s="1266"/>
      <c r="E133" s="509"/>
      <c r="F133" s="506" t="s">
        <v>116</v>
      </c>
      <c r="G133" s="258" t="e">
        <f>G132/VLOOKUP($C132,#REF!,8,0)</f>
        <v>#REF!</v>
      </c>
      <c r="H133" s="258" t="e">
        <f>H132/VLOOKUP($C132,#REF!,8,0)</f>
        <v>#REF!</v>
      </c>
      <c r="I133" s="1216"/>
      <c r="J133" s="258" t="e">
        <f>J132/VLOOKUP($C132,#REF!,8,0)</f>
        <v>#REF!</v>
      </c>
      <c r="K133" s="1216"/>
      <c r="L133" s="258"/>
      <c r="M133" s="969"/>
      <c r="N133" s="35"/>
      <c r="O133" s="506" t="s">
        <v>116</v>
      </c>
      <c r="P133" s="412" t="e">
        <f t="shared" si="6"/>
        <v>#REF!</v>
      </c>
      <c r="Q133" s="258" t="e">
        <f>Q132/VLOOKUP($C132,#REF!,8,0)</f>
        <v>#REF!</v>
      </c>
      <c r="R133" s="1216"/>
      <c r="S133" s="35"/>
      <c r="T133" s="506" t="s">
        <v>116</v>
      </c>
      <c r="U133" s="258" t="e">
        <f>U132/VLOOKUP($C132,#REF!,8,0)</f>
        <v>#REF!</v>
      </c>
      <c r="V133" s="1216"/>
      <c r="W133" s="258"/>
      <c r="X133" s="1216"/>
      <c r="Y133" s="969"/>
      <c r="AA133" s="989"/>
      <c r="AD133" s="33" t="str">
        <f>C132&amp;F133</f>
        <v>PhilippinesUSD bn</v>
      </c>
    </row>
    <row r="134" spans="1:30" ht="48.65" customHeight="1">
      <c r="A134" s="1268"/>
      <c r="B134" s="1268"/>
      <c r="C134" s="1257"/>
      <c r="D134" s="1261"/>
      <c r="E134" s="509"/>
      <c r="F134" s="508" t="s">
        <v>117</v>
      </c>
      <c r="G134" s="252" t="e">
        <f>(G132/VLOOKUP($C132,#REF!,4,0))*100</f>
        <v>#REF!</v>
      </c>
      <c r="H134" s="252" t="e">
        <f>(H132/VLOOKUP($C132,#REF!,4,0))*100</f>
        <v>#REF!</v>
      </c>
      <c r="I134" s="1197"/>
      <c r="J134" s="252" t="e">
        <f>(J132/VLOOKUP($C132,#REF!,4,0))*100</f>
        <v>#REF!</v>
      </c>
      <c r="K134" s="1197"/>
      <c r="L134" s="252"/>
      <c r="M134" s="969"/>
      <c r="N134" s="35"/>
      <c r="O134" s="508" t="s">
        <v>117</v>
      </c>
      <c r="P134" s="499" t="e">
        <f t="shared" si="6"/>
        <v>#REF!</v>
      </c>
      <c r="Q134" s="252" t="e">
        <f>(Q132/VLOOKUP($C132,#REF!,4,0))*100</f>
        <v>#REF!</v>
      </c>
      <c r="R134" s="1197"/>
      <c r="S134" s="35"/>
      <c r="T134" s="508" t="s">
        <v>117</v>
      </c>
      <c r="U134" s="252" t="e">
        <f>(U132/VLOOKUP($C132,#REF!,4,0))*100</f>
        <v>#REF!</v>
      </c>
      <c r="V134" s="1197"/>
      <c r="W134" s="252"/>
      <c r="X134" s="1197"/>
      <c r="Y134" s="969"/>
      <c r="AA134" s="989"/>
      <c r="AD134" s="33" t="str">
        <f>C132&amp;F134</f>
        <v>Philippines% GDP</v>
      </c>
    </row>
    <row r="135" spans="1:30" s="997" customFormat="1" ht="76.5" customHeight="1">
      <c r="A135" s="1268">
        <v>0</v>
      </c>
      <c r="B135" s="1268" t="s">
        <v>861</v>
      </c>
      <c r="C135" s="1256" t="s">
        <v>22</v>
      </c>
      <c r="D135" s="1252" t="s">
        <v>570</v>
      </c>
      <c r="E135" s="996"/>
      <c r="F135" s="38" t="s">
        <v>115</v>
      </c>
      <c r="G135" s="255">
        <f>H135+J135</f>
        <v>175.5</v>
      </c>
      <c r="H135" s="986">
        <v>8.5</v>
      </c>
      <c r="I135" s="1184" t="s">
        <v>643</v>
      </c>
      <c r="J135" s="177">
        <v>167</v>
      </c>
      <c r="K135" s="1184" t="s">
        <v>1440</v>
      </c>
      <c r="L135" s="979" t="s">
        <v>84</v>
      </c>
      <c r="M135" s="1184" t="s">
        <v>656</v>
      </c>
      <c r="N135" s="996"/>
      <c r="O135" s="175" t="s">
        <v>115</v>
      </c>
      <c r="P135" s="496">
        <f t="shared" si="6"/>
        <v>124</v>
      </c>
      <c r="Q135" s="274">
        <v>50</v>
      </c>
      <c r="R135" s="1184" t="s">
        <v>1441</v>
      </c>
      <c r="S135" s="996"/>
      <c r="T135" s="554" t="s">
        <v>115</v>
      </c>
      <c r="U135" s="117">
        <f>74</f>
        <v>74</v>
      </c>
      <c r="V135" s="1184" t="s">
        <v>1442</v>
      </c>
      <c r="W135" s="117"/>
      <c r="X135" s="1184"/>
      <c r="Y135" s="199" t="s">
        <v>189</v>
      </c>
      <c r="Z135" s="996"/>
      <c r="AA135" s="198" t="s">
        <v>188</v>
      </c>
      <c r="AD135" s="33" t="str">
        <f>C135&amp;F135</f>
        <v>PolandLC bn</v>
      </c>
    </row>
    <row r="136" spans="1:30" s="997" customFormat="1" ht="76.5" customHeight="1">
      <c r="A136" s="1268"/>
      <c r="B136" s="1268"/>
      <c r="C136" s="1256"/>
      <c r="D136" s="1253"/>
      <c r="F136" s="175" t="s">
        <v>116</v>
      </c>
      <c r="G136" s="251" t="e">
        <f>G135/VLOOKUP(C135,#REF!,8,0)</f>
        <v>#REF!</v>
      </c>
      <c r="H136" s="258" t="e">
        <f>H135/VLOOKUP($C135,#REF!,8,0)</f>
        <v>#REF!</v>
      </c>
      <c r="I136" s="1185"/>
      <c r="J136" s="251" t="e">
        <f>J135/VLOOKUP($C135,#REF!,8,0)</f>
        <v>#REF!</v>
      </c>
      <c r="K136" s="1219"/>
      <c r="L136" s="969"/>
      <c r="M136" s="1185"/>
      <c r="O136" s="175" t="s">
        <v>116</v>
      </c>
      <c r="P136" s="497" t="e">
        <f t="shared" si="6"/>
        <v>#REF!</v>
      </c>
      <c r="Q136" s="265" t="e">
        <f>Q135/VLOOKUP(C135,#REF!,8,0)</f>
        <v>#REF!</v>
      </c>
      <c r="R136" s="1185"/>
      <c r="T136" s="175" t="s">
        <v>116</v>
      </c>
      <c r="U136" s="285" t="e">
        <f>U135/VLOOKUP(C135,#REF!,8,0)</f>
        <v>#REF!</v>
      </c>
      <c r="V136" s="1185"/>
      <c r="W136" s="251"/>
      <c r="X136" s="1219"/>
      <c r="Y136" s="969"/>
      <c r="AA136" s="969"/>
      <c r="AD136" s="33" t="str">
        <f>C135&amp;F136</f>
        <v>PolandUSD bn</v>
      </c>
    </row>
    <row r="137" spans="1:30" ht="58.5" customHeight="1">
      <c r="A137" s="1268"/>
      <c r="B137" s="1268"/>
      <c r="C137" s="1257"/>
      <c r="D137" s="1254"/>
      <c r="E137" s="12"/>
      <c r="F137" s="53" t="s">
        <v>117</v>
      </c>
      <c r="G137" s="252" t="e">
        <f>(G135/VLOOKUP(C135,#REF!,4,0))*100</f>
        <v>#REF!</v>
      </c>
      <c r="H137" s="252" t="e">
        <f>(H135/VLOOKUP($C135,#REF!,4,0))*100</f>
        <v>#REF!</v>
      </c>
      <c r="I137" s="1186"/>
      <c r="J137" s="252" t="e">
        <f>(J135/VLOOKUP($C135,#REF!,4,0))*100</f>
        <v>#REF!</v>
      </c>
      <c r="K137" s="1186"/>
      <c r="L137" s="970"/>
      <c r="M137" s="1186"/>
      <c r="N137" s="12"/>
      <c r="O137" s="53" t="s">
        <v>117</v>
      </c>
      <c r="P137" s="499" t="e">
        <f t="shared" si="6"/>
        <v>#REF!</v>
      </c>
      <c r="Q137" s="267" t="e">
        <f>(Q135/VLOOKUP(C135,#REF!,4,0))*100</f>
        <v>#REF!</v>
      </c>
      <c r="R137" s="1186"/>
      <c r="S137" s="12"/>
      <c r="T137" s="53" t="s">
        <v>117</v>
      </c>
      <c r="U137" s="78" t="e">
        <f>(U135/VLOOKUP(C135,#REF!,4,0))*100</f>
        <v>#REF!</v>
      </c>
      <c r="V137" s="1186"/>
      <c r="W137" s="252"/>
      <c r="X137" s="1186"/>
      <c r="Y137" s="970"/>
      <c r="Z137" s="52"/>
      <c r="AA137" s="990"/>
      <c r="AD137" s="33" t="str">
        <f>C135&amp;F137</f>
        <v>Poland% GDP</v>
      </c>
    </row>
    <row r="138" spans="1:30" ht="131.5" customHeight="1">
      <c r="A138" s="1268">
        <v>0</v>
      </c>
      <c r="B138" s="1268" t="s">
        <v>861</v>
      </c>
      <c r="C138" s="1256" t="s">
        <v>557</v>
      </c>
      <c r="D138" s="1252" t="s">
        <v>571</v>
      </c>
      <c r="E138" s="35"/>
      <c r="F138" s="38" t="s">
        <v>115</v>
      </c>
      <c r="G138" s="251">
        <f>H138+J138</f>
        <v>23.8</v>
      </c>
      <c r="H138" s="972">
        <v>12.8</v>
      </c>
      <c r="I138" s="1184" t="s">
        <v>1263</v>
      </c>
      <c r="J138" s="118">
        <v>11</v>
      </c>
      <c r="K138" s="1184" t="s">
        <v>1300</v>
      </c>
      <c r="L138" s="980"/>
      <c r="M138" s="1190" t="s">
        <v>746</v>
      </c>
      <c r="N138" s="35"/>
      <c r="O138" s="175" t="s">
        <v>115</v>
      </c>
      <c r="P138" s="496">
        <f t="shared" si="6"/>
        <v>33.700000000000003</v>
      </c>
      <c r="Q138" s="269">
        <v>1.7</v>
      </c>
      <c r="R138" s="1184" t="s">
        <v>1138</v>
      </c>
      <c r="S138" s="35"/>
      <c r="T138" s="175" t="s">
        <v>115</v>
      </c>
      <c r="U138" s="285">
        <v>32</v>
      </c>
      <c r="V138" s="1202" t="s">
        <v>1264</v>
      </c>
      <c r="W138" s="969"/>
      <c r="X138" s="969"/>
      <c r="Y138" s="969"/>
      <c r="AA138" s="989"/>
      <c r="AD138" s="33" t="str">
        <f>C138&amp;F138</f>
        <v>RomaniaLC bn</v>
      </c>
    </row>
    <row r="139" spans="1:30" ht="105.65" customHeight="1">
      <c r="A139" s="1268"/>
      <c r="B139" s="1268"/>
      <c r="C139" s="1256"/>
      <c r="D139" s="1253"/>
      <c r="E139" s="35"/>
      <c r="F139" s="175" t="s">
        <v>116</v>
      </c>
      <c r="G139" s="258" t="e">
        <f>G138/VLOOKUP($C138,#REF!,8,0)</f>
        <v>#REF!</v>
      </c>
      <c r="H139" s="258" t="e">
        <f>H138/VLOOKUP($C138,#REF!,8,0)</f>
        <v>#REF!</v>
      </c>
      <c r="I139" s="1219"/>
      <c r="J139" s="258" t="e">
        <f>J138/VLOOKUP($C138,#REF!,8,0)</f>
        <v>#REF!</v>
      </c>
      <c r="K139" s="1219"/>
      <c r="L139" s="258"/>
      <c r="M139" s="1238"/>
      <c r="N139" s="35"/>
      <c r="O139" s="175" t="s">
        <v>116</v>
      </c>
      <c r="P139" s="412" t="e">
        <f t="shared" si="6"/>
        <v>#REF!</v>
      </c>
      <c r="Q139" s="258" t="e">
        <f>Q138/VLOOKUP($C138,#REF!,8,0)</f>
        <v>#REF!</v>
      </c>
      <c r="R139" s="1219"/>
      <c r="S139" s="35"/>
      <c r="T139" s="175" t="s">
        <v>116</v>
      </c>
      <c r="U139" s="258" t="e">
        <f>U138/VLOOKUP($C138,#REF!,8,0)</f>
        <v>#REF!</v>
      </c>
      <c r="V139" s="1219"/>
      <c r="W139" s="969"/>
      <c r="X139" s="969"/>
      <c r="Y139" s="969"/>
      <c r="AA139" s="989"/>
      <c r="AD139" s="33" t="str">
        <f>C138&amp;F139</f>
        <v>RomaniaUSD bn</v>
      </c>
    </row>
    <row r="140" spans="1:30" ht="126.65" customHeight="1">
      <c r="A140" s="1268"/>
      <c r="B140" s="1268"/>
      <c r="C140" s="1257"/>
      <c r="D140" s="1254"/>
      <c r="E140" s="35"/>
      <c r="F140" s="53" t="s">
        <v>117</v>
      </c>
      <c r="G140" s="252" t="e">
        <f>(G138/VLOOKUP($C138,#REF!,4,0))*100</f>
        <v>#REF!</v>
      </c>
      <c r="H140" s="252" t="e">
        <f>(H138/VLOOKUP($C138,#REF!,4,0))*100</f>
        <v>#REF!</v>
      </c>
      <c r="I140" s="1186"/>
      <c r="J140" s="252" t="e">
        <f>(J138/VLOOKUP($C138,#REF!,4,0))*100</f>
        <v>#REF!</v>
      </c>
      <c r="K140" s="1186"/>
      <c r="L140" s="252"/>
      <c r="M140" s="1192"/>
      <c r="N140" s="12"/>
      <c r="O140" s="53" t="s">
        <v>117</v>
      </c>
      <c r="P140" s="499" t="e">
        <f t="shared" si="6"/>
        <v>#REF!</v>
      </c>
      <c r="Q140" s="252" t="e">
        <f>(Q138/VLOOKUP($C138,#REF!,4,0))*100</f>
        <v>#REF!</v>
      </c>
      <c r="R140" s="1186"/>
      <c r="S140" s="12"/>
      <c r="T140" s="53" t="s">
        <v>117</v>
      </c>
      <c r="U140" s="252" t="e">
        <f>(U138/VLOOKUP($C138,#REF!,4,0))*100</f>
        <v>#REF!</v>
      </c>
      <c r="V140" s="1186"/>
      <c r="W140" s="970"/>
      <c r="X140" s="970"/>
      <c r="Y140" s="969"/>
      <c r="AA140" s="989"/>
      <c r="AD140" s="33" t="str">
        <f>C138&amp;F140</f>
        <v>Romania% GDP</v>
      </c>
    </row>
    <row r="141" spans="1:30" ht="69.650000000000006" customHeight="1">
      <c r="A141" s="1002"/>
      <c r="B141" s="1002"/>
      <c r="C141" s="1255" t="s">
        <v>953</v>
      </c>
      <c r="D141" s="1252" t="s">
        <v>570</v>
      </c>
      <c r="E141" s="37"/>
      <c r="F141" s="175" t="s">
        <v>115</v>
      </c>
      <c r="G141" s="257">
        <v>308</v>
      </c>
      <c r="H141" s="979">
        <v>73</v>
      </c>
      <c r="I141" s="1220" t="s">
        <v>1181</v>
      </c>
      <c r="J141" s="118">
        <f>G141-H141</f>
        <v>235</v>
      </c>
      <c r="K141" s="1190" t="s">
        <v>1301</v>
      </c>
      <c r="L141" s="118">
        <v>151</v>
      </c>
      <c r="M141" s="1184" t="s">
        <v>1217</v>
      </c>
      <c r="N141" s="37"/>
      <c r="O141" s="175" t="s">
        <v>115</v>
      </c>
      <c r="P141" s="496">
        <f t="shared" si="6"/>
        <v>76.5</v>
      </c>
      <c r="Q141" s="277"/>
      <c r="R141" s="969"/>
      <c r="S141" s="37"/>
      <c r="T141" s="175" t="s">
        <v>115</v>
      </c>
      <c r="U141" s="257">
        <v>56.5</v>
      </c>
      <c r="V141" s="1193" t="s">
        <v>1183</v>
      </c>
      <c r="W141" s="251">
        <v>20</v>
      </c>
      <c r="X141" s="1184" t="s">
        <v>1218</v>
      </c>
      <c r="Y141" s="969"/>
      <c r="AA141" s="989"/>
      <c r="AD141" s="33" t="str">
        <f t="shared" ref="AD141" si="10">C141&amp;F141</f>
        <v>SerbiaLC bn</v>
      </c>
    </row>
    <row r="142" spans="1:30" ht="69.650000000000006" customHeight="1">
      <c r="A142" s="1002">
        <v>0</v>
      </c>
      <c r="B142" s="1002" t="s">
        <v>861</v>
      </c>
      <c r="C142" s="1256"/>
      <c r="D142" s="1253"/>
      <c r="E142" s="37"/>
      <c r="F142" s="175" t="s">
        <v>116</v>
      </c>
      <c r="G142" s="258" t="e">
        <f>G141/VLOOKUP(C141,#REF!,8,0)</f>
        <v>#REF!</v>
      </c>
      <c r="H142" s="258" t="e">
        <f>H141/VLOOKUP($C141,#REF!,8,0)</f>
        <v>#REF!</v>
      </c>
      <c r="I142" s="1221"/>
      <c r="J142" s="258" t="e">
        <f>J141/VLOOKUP($C141,#REF!,8,0)</f>
        <v>#REF!</v>
      </c>
      <c r="K142" s="1191"/>
      <c r="L142" s="258" t="e">
        <f>L141/VLOOKUP($C141,#REF!,8,0)</f>
        <v>#REF!</v>
      </c>
      <c r="M142" s="1185"/>
      <c r="N142" s="37"/>
      <c r="O142" s="175" t="s">
        <v>116</v>
      </c>
      <c r="P142" s="412" t="e">
        <f t="shared" si="6"/>
        <v>#REF!</v>
      </c>
      <c r="Q142" s="277"/>
      <c r="R142" s="969"/>
      <c r="S142" s="37"/>
      <c r="T142" s="175" t="s">
        <v>116</v>
      </c>
      <c r="U142" s="258" t="e">
        <f>U141/VLOOKUP(C141,#REF!,8,0)</f>
        <v>#REF!</v>
      </c>
      <c r="V142" s="1196"/>
      <c r="W142" s="258" t="e">
        <f>W141/VLOOKUP($C141,#REF!,8,0)</f>
        <v>#REF!</v>
      </c>
      <c r="X142" s="1185"/>
      <c r="Y142" s="969"/>
      <c r="AA142" s="989"/>
      <c r="AD142" s="33" t="str">
        <f t="shared" ref="AD142" si="11">C141&amp;F142</f>
        <v>SerbiaUSD bn</v>
      </c>
    </row>
    <row r="143" spans="1:30" ht="69.650000000000006" customHeight="1">
      <c r="A143" s="1002"/>
      <c r="B143" s="1002"/>
      <c r="C143" s="1257"/>
      <c r="D143" s="1254"/>
      <c r="E143" s="12"/>
      <c r="F143" s="53" t="s">
        <v>117</v>
      </c>
      <c r="G143" s="252" t="e">
        <f>(G141/VLOOKUP(C141,#REF!,4,0))*100</f>
        <v>#REF!</v>
      </c>
      <c r="H143" s="252" t="e">
        <f>(H141/VLOOKUP($C141,#REF!,4,0))*100</f>
        <v>#REF!</v>
      </c>
      <c r="I143" s="1222"/>
      <c r="J143" s="252" t="e">
        <f>J141/VLOOKUP($C141,#REF!,4,0)*100</f>
        <v>#REF!</v>
      </c>
      <c r="K143" s="1192"/>
      <c r="L143" s="252" t="e">
        <f>L141/VLOOKUP($C141,#REF!,4,0)*100</f>
        <v>#REF!</v>
      </c>
      <c r="M143" s="1186"/>
      <c r="N143" s="12"/>
      <c r="O143" s="53" t="s">
        <v>117</v>
      </c>
      <c r="P143" s="499" t="e">
        <f t="shared" si="6"/>
        <v>#REF!</v>
      </c>
      <c r="Q143" s="267"/>
      <c r="R143" s="1004"/>
      <c r="S143" s="12"/>
      <c r="T143" s="53" t="s">
        <v>117</v>
      </c>
      <c r="U143" s="252" t="e">
        <f>(U141/VLOOKUP(C141,#REF!,4,0))*100</f>
        <v>#REF!</v>
      </c>
      <c r="V143" s="1197"/>
      <c r="W143" s="252" t="e">
        <f>W141/VLOOKUP($C141,#REF!,4,0)*100</f>
        <v>#REF!</v>
      </c>
      <c r="X143" s="1186"/>
      <c r="Y143" s="969"/>
      <c r="AA143" s="989"/>
      <c r="AD143" s="33" t="str">
        <f t="shared" ref="AD143" si="12">C141&amp;F143</f>
        <v>Serbia% GDP</v>
      </c>
    </row>
    <row r="144" spans="1:30" ht="247.5" customHeight="1">
      <c r="A144" s="1268">
        <v>0</v>
      </c>
      <c r="B144" s="1268" t="s">
        <v>861</v>
      </c>
      <c r="C144" s="1256" t="s">
        <v>559</v>
      </c>
      <c r="D144" s="1253" t="s">
        <v>572</v>
      </c>
      <c r="E144" s="35"/>
      <c r="F144" s="38" t="s">
        <v>115</v>
      </c>
      <c r="G144" s="186">
        <v>1290</v>
      </c>
      <c r="H144" s="258" t="s">
        <v>84</v>
      </c>
      <c r="I144" s="1184" t="s">
        <v>645</v>
      </c>
      <c r="J144" s="258" t="s">
        <v>84</v>
      </c>
      <c r="K144" s="1270" t="s">
        <v>1384</v>
      </c>
      <c r="L144" s="258"/>
      <c r="M144" s="1184" t="s">
        <v>1000</v>
      </c>
      <c r="N144" s="35"/>
      <c r="O144" s="175" t="s">
        <v>115</v>
      </c>
      <c r="P144" s="496">
        <f t="shared" si="6"/>
        <v>665</v>
      </c>
      <c r="Q144" s="251">
        <v>90</v>
      </c>
      <c r="R144" s="1202" t="s">
        <v>736</v>
      </c>
      <c r="S144" s="35"/>
      <c r="T144" s="175" t="s">
        <v>115</v>
      </c>
      <c r="U144" s="251">
        <v>325</v>
      </c>
      <c r="V144" s="1184" t="s">
        <v>567</v>
      </c>
      <c r="W144" s="251">
        <v>250</v>
      </c>
      <c r="X144" s="1184" t="s">
        <v>1001</v>
      </c>
      <c r="Y144" s="969"/>
      <c r="AA144" s="989"/>
      <c r="AD144" s="33" t="str">
        <f t="shared" ref="AD144" si="13">C144&amp;F144</f>
        <v>ThailandLC bn</v>
      </c>
    </row>
    <row r="145" spans="1:30" ht="161.5" customHeight="1">
      <c r="A145" s="1268"/>
      <c r="B145" s="1268"/>
      <c r="C145" s="1256"/>
      <c r="D145" s="1253"/>
      <c r="E145" s="35"/>
      <c r="F145" s="175" t="s">
        <v>116</v>
      </c>
      <c r="G145" s="251" t="e">
        <f>G144/VLOOKUP($C144,#REF!,8,0)</f>
        <v>#REF!</v>
      </c>
      <c r="H145" s="258"/>
      <c r="I145" s="1219"/>
      <c r="J145" s="258"/>
      <c r="K145" s="1216"/>
      <c r="L145" s="258"/>
      <c r="M145" s="1185"/>
      <c r="N145" s="35"/>
      <c r="O145" s="175" t="s">
        <v>116</v>
      </c>
      <c r="P145" s="497" t="e">
        <f t="shared" si="6"/>
        <v>#REF!</v>
      </c>
      <c r="Q145" s="258" t="e">
        <f>Q144/VLOOKUP($C144,#REF!,8,0)</f>
        <v>#REF!</v>
      </c>
      <c r="R145" s="1203"/>
      <c r="S145" s="35"/>
      <c r="T145" s="175" t="s">
        <v>116</v>
      </c>
      <c r="U145" s="251" t="e">
        <f>U144/VLOOKUP($C144,#REF!,8,0)</f>
        <v>#REF!</v>
      </c>
      <c r="V145" s="1219"/>
      <c r="W145" s="258" t="e">
        <f>W144/VLOOKUP($C144,#REF!,8,0)</f>
        <v>#REF!</v>
      </c>
      <c r="X145" s="1185"/>
      <c r="Y145" s="969"/>
      <c r="AA145" s="989"/>
      <c r="AD145" s="33" t="str">
        <f t="shared" ref="AD145" si="14">C144&amp;F145</f>
        <v>ThailandUSD bn</v>
      </c>
    </row>
    <row r="146" spans="1:30" ht="267.64999999999998" customHeight="1">
      <c r="A146" s="1268"/>
      <c r="B146" s="1268"/>
      <c r="C146" s="1257"/>
      <c r="D146" s="1254"/>
      <c r="E146" s="35"/>
      <c r="F146" s="53" t="s">
        <v>117</v>
      </c>
      <c r="G146" s="252" t="e">
        <f>(G144/VLOOKUP($C144,#REF!,4,0))*100</f>
        <v>#REF!</v>
      </c>
      <c r="H146" s="252"/>
      <c r="I146" s="1186"/>
      <c r="J146" s="252"/>
      <c r="K146" s="1197"/>
      <c r="L146" s="252"/>
      <c r="M146" s="1186"/>
      <c r="N146" s="12"/>
      <c r="O146" s="53" t="s">
        <v>117</v>
      </c>
      <c r="P146" s="499" t="e">
        <f t="shared" si="6"/>
        <v>#REF!</v>
      </c>
      <c r="Q146" s="252" t="e">
        <f>(Q144/VLOOKUP($C144,#REF!,4,0))*100</f>
        <v>#REF!</v>
      </c>
      <c r="R146" s="1204"/>
      <c r="S146" s="12"/>
      <c r="T146" s="53" t="s">
        <v>117</v>
      </c>
      <c r="U146" s="252" t="e">
        <f>(U144/VLOOKUP($C144,#REF!,4,0))*100</f>
        <v>#REF!</v>
      </c>
      <c r="V146" s="1186"/>
      <c r="W146" s="252" t="e">
        <f>(W144/VLOOKUP($C144,#REF!,4,0))*100</f>
        <v>#REF!</v>
      </c>
      <c r="X146" s="1186"/>
      <c r="Y146" s="969"/>
      <c r="AA146" s="989"/>
      <c r="AD146" s="33" t="str">
        <f t="shared" ref="AD146" si="15">C144&amp;F146</f>
        <v>Thailand% GDP</v>
      </c>
    </row>
    <row r="147" spans="1:30" s="997" customFormat="1" ht="88" customHeight="1">
      <c r="A147" s="1268">
        <v>0</v>
      </c>
      <c r="B147" s="1268" t="s">
        <v>861</v>
      </c>
      <c r="C147" s="1281" t="s">
        <v>30</v>
      </c>
      <c r="D147" s="1259" t="s">
        <v>570</v>
      </c>
      <c r="E147" s="504"/>
      <c r="F147" s="505" t="s">
        <v>115</v>
      </c>
      <c r="G147" s="1006">
        <v>2.6859999999999999</v>
      </c>
      <c r="H147" s="1006">
        <v>0.4</v>
      </c>
      <c r="I147" s="1193" t="s">
        <v>1388</v>
      </c>
      <c r="J147" s="1006">
        <f>G147-H147</f>
        <v>2.286</v>
      </c>
      <c r="K147" s="1270" t="s">
        <v>1389</v>
      </c>
      <c r="L147" s="1006">
        <f>0.545+0.01</f>
        <v>0.55500000000000005</v>
      </c>
      <c r="M147" s="1193" t="s">
        <v>794</v>
      </c>
      <c r="N147" s="504"/>
      <c r="O147" s="505" t="s">
        <v>115</v>
      </c>
      <c r="P147" s="754">
        <f t="shared" si="6"/>
        <v>0.5</v>
      </c>
      <c r="Q147" s="79">
        <v>0.3</v>
      </c>
      <c r="R147" s="1193" t="s">
        <v>1314</v>
      </c>
      <c r="S147" s="504"/>
      <c r="T147" s="505" t="s">
        <v>115</v>
      </c>
      <c r="U147" s="1006">
        <v>0.2</v>
      </c>
      <c r="V147" s="1193" t="s">
        <v>614</v>
      </c>
      <c r="W147" s="968"/>
      <c r="X147" s="968"/>
      <c r="Y147" s="1184" t="s">
        <v>83</v>
      </c>
      <c r="Z147" s="996"/>
      <c r="AA147" s="968"/>
      <c r="AD147" s="33" t="str">
        <f>C147&amp;F147</f>
        <v>TunisiaLC bn</v>
      </c>
    </row>
    <row r="148" spans="1:30" s="997" customFormat="1" ht="88" customHeight="1">
      <c r="A148" s="1268"/>
      <c r="B148" s="1268"/>
      <c r="C148" s="1282"/>
      <c r="D148" s="1260"/>
      <c r="E148" s="184"/>
      <c r="F148" s="506" t="s">
        <v>116</v>
      </c>
      <c r="G148" s="258" t="e">
        <f>G147/VLOOKUP(C147,#REF!,8,0)</f>
        <v>#REF!</v>
      </c>
      <c r="H148" s="258" t="e">
        <f>H147/VLOOKUP($C147,#REF!,8,0)</f>
        <v>#REF!</v>
      </c>
      <c r="I148" s="1196"/>
      <c r="J148" s="258" t="e">
        <f>J147/VLOOKUP($C147,#REF!,8,0)</f>
        <v>#REF!</v>
      </c>
      <c r="K148" s="1196"/>
      <c r="L148" s="258" t="e">
        <f>L147/VLOOKUP($C147,#REF!,8,0)</f>
        <v>#REF!</v>
      </c>
      <c r="M148" s="1196"/>
      <c r="N148" s="184"/>
      <c r="O148" s="506" t="s">
        <v>116</v>
      </c>
      <c r="P148" s="755" t="e">
        <f t="shared" si="6"/>
        <v>#REF!</v>
      </c>
      <c r="Q148" s="77" t="e">
        <f>Q147/VLOOKUP(C147,#REF!,8,0)</f>
        <v>#REF!</v>
      </c>
      <c r="R148" s="1196"/>
      <c r="S148" s="184"/>
      <c r="T148" s="506" t="s">
        <v>116</v>
      </c>
      <c r="U148" s="258" t="e">
        <f>U147/VLOOKUP(C147,#REF!,8,0)</f>
        <v>#REF!</v>
      </c>
      <c r="V148" s="1196"/>
      <c r="W148" s="969"/>
      <c r="X148" s="969"/>
      <c r="Y148" s="1185"/>
      <c r="AA148" s="969"/>
      <c r="AD148" s="33" t="str">
        <f>C147&amp;F148</f>
        <v>TunisiaUSD bn</v>
      </c>
    </row>
    <row r="149" spans="1:30" ht="88" customHeight="1">
      <c r="A149" s="1268"/>
      <c r="B149" s="1268"/>
      <c r="C149" s="1283"/>
      <c r="D149" s="1261"/>
      <c r="E149" s="507"/>
      <c r="F149" s="508" t="s">
        <v>117</v>
      </c>
      <c r="G149" s="252" t="e">
        <f>(G147/VLOOKUP(C147,#REF!,4,0))*100</f>
        <v>#REF!</v>
      </c>
      <c r="H149" s="252" t="e">
        <f>(H147/VLOOKUP($C147,#REF!,4,0))*100</f>
        <v>#REF!</v>
      </c>
      <c r="I149" s="1197"/>
      <c r="J149" s="252" t="e">
        <f>(J147/VLOOKUP($C147,#REF!,4,0))*100</f>
        <v>#REF!</v>
      </c>
      <c r="K149" s="1197"/>
      <c r="L149" s="252" t="e">
        <f>(L147/VLOOKUP($C147,#REF!,4,0))*100</f>
        <v>#REF!</v>
      </c>
      <c r="M149" s="1197"/>
      <c r="N149" s="507"/>
      <c r="O149" s="508" t="s">
        <v>117</v>
      </c>
      <c r="P149" s="746" t="e">
        <f t="shared" si="6"/>
        <v>#REF!</v>
      </c>
      <c r="Q149" s="78" t="e">
        <f>(Q147/VLOOKUP(C147,#REF!,4,0))*100</f>
        <v>#REF!</v>
      </c>
      <c r="R149" s="1197"/>
      <c r="S149" s="507"/>
      <c r="T149" s="508" t="s">
        <v>117</v>
      </c>
      <c r="U149" s="252" t="e">
        <f>(U147/VLOOKUP(C147,#REF!,4,0))*100</f>
        <v>#REF!</v>
      </c>
      <c r="V149" s="1197"/>
      <c r="W149" s="970"/>
      <c r="X149" s="970"/>
      <c r="Y149" s="1186"/>
      <c r="Z149" s="52"/>
      <c r="AA149" s="990"/>
      <c r="AD149" s="33" t="str">
        <f>C147&amp;F149</f>
        <v>Tunisia% GDP</v>
      </c>
    </row>
    <row r="150" spans="1:30" s="997" customFormat="1" ht="68.5" customHeight="1">
      <c r="A150" s="1268">
        <v>0</v>
      </c>
      <c r="B150" s="1268" t="s">
        <v>861</v>
      </c>
      <c r="C150" s="1255" t="s">
        <v>56</v>
      </c>
      <c r="D150" s="1259" t="s">
        <v>570</v>
      </c>
      <c r="E150" s="996"/>
      <c r="F150" s="38" t="s">
        <v>115</v>
      </c>
      <c r="G150" s="255">
        <v>32</v>
      </c>
      <c r="H150" s="981" t="s">
        <v>84</v>
      </c>
      <c r="I150" s="1193" t="s">
        <v>646</v>
      </c>
      <c r="J150" s="286" t="s">
        <v>84</v>
      </c>
      <c r="K150" s="1193" t="s">
        <v>747</v>
      </c>
      <c r="L150" s="968"/>
      <c r="M150" s="968"/>
      <c r="N150" s="996"/>
      <c r="O150" s="38" t="s">
        <v>115</v>
      </c>
      <c r="P150" s="79" t="s">
        <v>84</v>
      </c>
      <c r="Q150" s="79" t="s">
        <v>84</v>
      </c>
      <c r="R150" s="1184" t="s">
        <v>308</v>
      </c>
      <c r="S150" s="996"/>
      <c r="T150" s="38" t="s">
        <v>115</v>
      </c>
      <c r="U150" s="79" t="s">
        <v>84</v>
      </c>
      <c r="V150" s="1184" t="s">
        <v>343</v>
      </c>
      <c r="W150" s="79" t="s">
        <v>84</v>
      </c>
      <c r="X150" s="1184" t="s">
        <v>750</v>
      </c>
      <c r="Y150" s="968"/>
      <c r="Z150" s="996"/>
      <c r="AA150" s="988" t="s">
        <v>51</v>
      </c>
      <c r="AD150" s="33" t="str">
        <f>C150&amp;F150</f>
        <v>United Arab EmiratesLC bn</v>
      </c>
    </row>
    <row r="151" spans="1:30" s="997" customFormat="1" ht="69.650000000000006" customHeight="1">
      <c r="A151" s="1268"/>
      <c r="B151" s="1268"/>
      <c r="C151" s="1256"/>
      <c r="D151" s="1260"/>
      <c r="F151" s="175" t="s">
        <v>116</v>
      </c>
      <c r="G151" s="258" t="e">
        <f>G150/VLOOKUP(C150,#REF!,8,0)</f>
        <v>#REF!</v>
      </c>
      <c r="H151" s="999"/>
      <c r="I151" s="1196"/>
      <c r="J151" s="982"/>
      <c r="K151" s="1196"/>
      <c r="L151" s="969"/>
      <c r="M151" s="969"/>
      <c r="O151" s="175" t="s">
        <v>116</v>
      </c>
      <c r="P151" s="969"/>
      <c r="Q151" s="277"/>
      <c r="R151" s="1185"/>
      <c r="T151" s="175" t="s">
        <v>116</v>
      </c>
      <c r="U151" s="1007"/>
      <c r="V151" s="1185"/>
      <c r="W151" s="969"/>
      <c r="X151" s="1185"/>
      <c r="Y151" s="969"/>
      <c r="AA151" s="989" t="s">
        <v>52</v>
      </c>
      <c r="AD151" s="33" t="str">
        <f>C150&amp;F151</f>
        <v>United Arab EmiratesUSD bn</v>
      </c>
    </row>
    <row r="152" spans="1:30" ht="62.5" customHeight="1">
      <c r="A152" s="1268"/>
      <c r="B152" s="1268"/>
      <c r="C152" s="1257"/>
      <c r="D152" s="1261"/>
      <c r="E152" s="12"/>
      <c r="F152" s="53" t="s">
        <v>117</v>
      </c>
      <c r="G152" s="252" t="e">
        <f>(G150/VLOOKUP(C150,#REF!,4,0))*100</f>
        <v>#REF!</v>
      </c>
      <c r="H152" s="983"/>
      <c r="I152" s="1197"/>
      <c r="J152" s="1008"/>
      <c r="K152" s="1197"/>
      <c r="L152" s="970"/>
      <c r="M152" s="970"/>
      <c r="N152" s="12"/>
      <c r="O152" s="53" t="s">
        <v>117</v>
      </c>
      <c r="P152" s="1004"/>
      <c r="Q152" s="267"/>
      <c r="R152" s="1186"/>
      <c r="S152" s="12"/>
      <c r="T152" s="53" t="s">
        <v>117</v>
      </c>
      <c r="U152" s="252"/>
      <c r="V152" s="1186"/>
      <c r="W152" s="970"/>
      <c r="X152" s="1186"/>
      <c r="Y152" s="970"/>
      <c r="Z152" s="52"/>
      <c r="AA152" s="990"/>
      <c r="AD152" s="33" t="str">
        <f>C150&amp;F152</f>
        <v>United Arab Emirates% GDP</v>
      </c>
    </row>
    <row r="153" spans="1:30" s="997" customFormat="1" ht="128.5" customHeight="1">
      <c r="A153" s="1268">
        <v>0</v>
      </c>
      <c r="B153" s="1268" t="s">
        <v>862</v>
      </c>
      <c r="C153" s="1255" t="s">
        <v>37</v>
      </c>
      <c r="D153" s="1259" t="s">
        <v>571</v>
      </c>
      <c r="E153" s="504"/>
      <c r="F153" s="505" t="s">
        <v>115</v>
      </c>
      <c r="G153" s="119">
        <f>H153+J153</f>
        <v>353.14</v>
      </c>
      <c r="H153" s="119">
        <v>25.61</v>
      </c>
      <c r="I153" s="1193" t="s">
        <v>1215</v>
      </c>
      <c r="J153" s="119">
        <v>327.52999999999997</v>
      </c>
      <c r="K153" s="1193" t="s">
        <v>1320</v>
      </c>
      <c r="L153" s="968"/>
      <c r="M153" s="968"/>
      <c r="N153" s="996"/>
      <c r="O153" s="38" t="s">
        <v>115</v>
      </c>
      <c r="P153" s="498"/>
      <c r="Q153" s="274"/>
      <c r="R153" s="1184"/>
      <c r="S153" s="996"/>
      <c r="T153" s="38" t="s">
        <v>115</v>
      </c>
      <c r="U153" s="1006"/>
      <c r="V153" s="968"/>
      <c r="W153" s="968"/>
      <c r="X153" s="968"/>
      <c r="Y153" s="968"/>
      <c r="Z153" s="996"/>
      <c r="AA153" s="968"/>
      <c r="AD153" s="33" t="str">
        <f>C153&amp;F153</f>
        <v>BangladeshLC bn</v>
      </c>
    </row>
    <row r="154" spans="1:30" s="37" customFormat="1" ht="135.65" customHeight="1">
      <c r="A154" s="1268"/>
      <c r="B154" s="1268"/>
      <c r="C154" s="1256"/>
      <c r="D154" s="1260"/>
      <c r="E154" s="184"/>
      <c r="F154" s="506" t="s">
        <v>116</v>
      </c>
      <c r="G154" s="258" t="e">
        <f>G153/VLOOKUP(C153,#REF!,8,0)</f>
        <v>#REF!</v>
      </c>
      <c r="H154" s="258" t="e">
        <f>H153/VLOOKUP($C153,#REF!,8,0)</f>
        <v>#REF!</v>
      </c>
      <c r="I154" s="1196"/>
      <c r="J154" s="258" t="e">
        <f>J153/VLOOKUP($C153,#REF!,8,0)</f>
        <v>#REF!</v>
      </c>
      <c r="K154" s="1196"/>
      <c r="L154" s="969"/>
      <c r="M154" s="969"/>
      <c r="N154" s="997"/>
      <c r="O154" s="175" t="s">
        <v>116</v>
      </c>
      <c r="P154" s="412"/>
      <c r="Q154" s="269"/>
      <c r="R154" s="1185"/>
      <c r="S154" s="997"/>
      <c r="T154" s="175" t="s">
        <v>116</v>
      </c>
      <c r="U154" s="1007"/>
      <c r="V154" s="969"/>
      <c r="W154" s="969"/>
      <c r="X154" s="969"/>
      <c r="Y154" s="969"/>
      <c r="Z154" s="997"/>
      <c r="AA154" s="969"/>
      <c r="AD154" s="33" t="str">
        <f>C153&amp;F154</f>
        <v>BangladeshUSD bn</v>
      </c>
    </row>
    <row r="155" spans="1:30" ht="166.5" customHeight="1">
      <c r="A155" s="1268"/>
      <c r="B155" s="1268"/>
      <c r="C155" s="1257"/>
      <c r="D155" s="1261"/>
      <c r="E155" s="507"/>
      <c r="F155" s="508" t="s">
        <v>117</v>
      </c>
      <c r="G155" s="252" t="e">
        <f>(G153/VLOOKUP(C153,#REF!,4,0))*100</f>
        <v>#REF!</v>
      </c>
      <c r="H155" s="252" t="e">
        <f>(H153/VLOOKUP($C153,#REF!,4,0))*100</f>
        <v>#REF!</v>
      </c>
      <c r="I155" s="1197"/>
      <c r="J155" s="252" t="e">
        <f>(J153/VLOOKUP($C153,#REF!,4,0))*100</f>
        <v>#REF!</v>
      </c>
      <c r="K155" s="1197"/>
      <c r="L155" s="970"/>
      <c r="M155" s="970"/>
      <c r="N155" s="12"/>
      <c r="O155" s="53" t="s">
        <v>117</v>
      </c>
      <c r="P155" s="499"/>
      <c r="Q155" s="267"/>
      <c r="R155" s="1186"/>
      <c r="S155" s="12"/>
      <c r="T155" s="53" t="s">
        <v>117</v>
      </c>
      <c r="U155" s="252"/>
      <c r="V155" s="970"/>
      <c r="W155" s="970"/>
      <c r="X155" s="970"/>
      <c r="Y155" s="969"/>
      <c r="AA155" s="989"/>
      <c r="AD155" s="33" t="str">
        <f>C153&amp;F155</f>
        <v>Bangladesh% GDP</v>
      </c>
    </row>
    <row r="156" spans="1:30" ht="58.5" customHeight="1">
      <c r="A156" s="1268">
        <v>0</v>
      </c>
      <c r="B156" s="1268" t="s">
        <v>862</v>
      </c>
      <c r="C156" s="1256" t="s">
        <v>548</v>
      </c>
      <c r="D156" s="1266" t="s">
        <v>571</v>
      </c>
      <c r="E156" s="35"/>
      <c r="F156" s="175" t="s">
        <v>115</v>
      </c>
      <c r="G156" s="510">
        <v>52</v>
      </c>
      <c r="H156" s="250">
        <v>16</v>
      </c>
      <c r="I156" s="1193" t="s">
        <v>647</v>
      </c>
      <c r="J156" s="250">
        <v>35</v>
      </c>
      <c r="K156" s="1193" t="s">
        <v>748</v>
      </c>
      <c r="L156" s="969"/>
      <c r="M156" s="969"/>
      <c r="N156" s="35"/>
      <c r="O156" s="38" t="s">
        <v>115</v>
      </c>
      <c r="P156" s="496">
        <f t="shared" ref="P156:P167" si="16">Q156+U156+W156</f>
        <v>21</v>
      </c>
      <c r="Q156" s="266">
        <v>21</v>
      </c>
      <c r="R156" s="1184" t="s">
        <v>751</v>
      </c>
      <c r="S156" s="35"/>
      <c r="T156" s="38" t="s">
        <v>115</v>
      </c>
      <c r="U156" s="258"/>
      <c r="V156" s="969"/>
      <c r="W156" s="969"/>
      <c r="X156" s="969"/>
      <c r="Y156" s="969"/>
      <c r="AA156" s="989"/>
      <c r="AD156" s="33" t="str">
        <f>C156&amp;F156</f>
        <v>EthiopiaLC bn</v>
      </c>
    </row>
    <row r="157" spans="1:30" ht="58.5" customHeight="1">
      <c r="A157" s="1268"/>
      <c r="B157" s="1268"/>
      <c r="C157" s="1256"/>
      <c r="D157" s="1266"/>
      <c r="E157" s="35"/>
      <c r="F157" s="175" t="s">
        <v>116</v>
      </c>
      <c r="G157" s="258" t="e">
        <f>G156/VLOOKUP(C156,#REF!,8,0)</f>
        <v>#REF!</v>
      </c>
      <c r="H157" s="258" t="e">
        <f>H156/VLOOKUP($C156,#REF!,8,0)</f>
        <v>#REF!</v>
      </c>
      <c r="I157" s="1216"/>
      <c r="J157" s="258" t="e">
        <f>J156/VLOOKUP($C156,#REF!,8,0)</f>
        <v>#REF!</v>
      </c>
      <c r="K157" s="1216"/>
      <c r="L157" s="258"/>
      <c r="M157" s="969"/>
      <c r="N157" s="35"/>
      <c r="O157" s="175" t="s">
        <v>116</v>
      </c>
      <c r="P157" s="412" t="e">
        <f t="shared" si="16"/>
        <v>#REF!</v>
      </c>
      <c r="Q157" s="269" t="e">
        <f>Q156/VLOOKUP(C156,#REF!,8,0)</f>
        <v>#REF!</v>
      </c>
      <c r="R157" s="1185"/>
      <c r="S157" s="35"/>
      <c r="T157" s="175" t="s">
        <v>116</v>
      </c>
      <c r="U157" s="258"/>
      <c r="V157" s="969"/>
      <c r="W157" s="969"/>
      <c r="X157" s="969"/>
      <c r="Y157" s="969"/>
      <c r="AA157" s="989"/>
      <c r="AD157" s="33" t="str">
        <f>C156&amp;F157</f>
        <v>EthiopiaUSD bn</v>
      </c>
    </row>
    <row r="158" spans="1:30" ht="58.5" customHeight="1">
      <c r="A158" s="1268"/>
      <c r="B158" s="1268"/>
      <c r="C158" s="1257"/>
      <c r="D158" s="1261"/>
      <c r="E158" s="12"/>
      <c r="F158" s="53" t="s">
        <v>117</v>
      </c>
      <c r="G158" s="252" t="e">
        <f>(G156/VLOOKUP(C156,#REF!,4,0))*100</f>
        <v>#REF!</v>
      </c>
      <c r="H158" s="252" t="e">
        <f>(H156/VLOOKUP($C156,#REF!,4,0))*100</f>
        <v>#REF!</v>
      </c>
      <c r="I158" s="1197"/>
      <c r="J158" s="252" t="e">
        <f>(J156/VLOOKUP($C156,#REF!,4,0))*100</f>
        <v>#REF!</v>
      </c>
      <c r="K158" s="1197"/>
      <c r="L158" s="252"/>
      <c r="M158" s="970"/>
      <c r="N158" s="12"/>
      <c r="O158" s="53" t="s">
        <v>117</v>
      </c>
      <c r="P158" s="499" t="e">
        <f t="shared" si="16"/>
        <v>#REF!</v>
      </c>
      <c r="Q158" s="267" t="e">
        <f>(Q156/VLOOKUP(C156,#REF!,4,0))*100</f>
        <v>#REF!</v>
      </c>
      <c r="R158" s="1186"/>
      <c r="S158" s="12"/>
      <c r="T158" s="53" t="s">
        <v>117</v>
      </c>
      <c r="U158" s="252"/>
      <c r="V158" s="970"/>
      <c r="W158" s="970"/>
      <c r="X158" s="970"/>
      <c r="Y158" s="969"/>
      <c r="AA158" s="989"/>
      <c r="AD158" s="33" t="str">
        <f>C156&amp;F158</f>
        <v>Ethiopia% GDP</v>
      </c>
    </row>
    <row r="159" spans="1:30" ht="58.5" customHeight="1">
      <c r="A159" s="1268">
        <v>0</v>
      </c>
      <c r="B159" s="1268" t="s">
        <v>862</v>
      </c>
      <c r="C159" s="1256" t="s">
        <v>550</v>
      </c>
      <c r="D159" s="1266" t="s">
        <v>571</v>
      </c>
      <c r="E159" s="35"/>
      <c r="F159" s="175" t="s">
        <v>115</v>
      </c>
      <c r="G159" s="502">
        <v>11.2</v>
      </c>
      <c r="H159" s="503">
        <f>0.572</f>
        <v>0.57199999999999995</v>
      </c>
      <c r="I159" s="1193" t="s">
        <v>648</v>
      </c>
      <c r="J159" s="502">
        <f>G159-H159</f>
        <v>10.628</v>
      </c>
      <c r="K159" s="1184" t="s">
        <v>788</v>
      </c>
      <c r="L159" s="969" t="s">
        <v>84</v>
      </c>
      <c r="M159" s="1193" t="s">
        <v>621</v>
      </c>
      <c r="N159" s="35"/>
      <c r="O159" s="38" t="s">
        <v>115</v>
      </c>
      <c r="P159" s="498">
        <f t="shared" si="16"/>
        <v>1.2</v>
      </c>
      <c r="Q159" s="518">
        <v>1.2</v>
      </c>
      <c r="R159" s="1190" t="s">
        <v>752</v>
      </c>
      <c r="S159" s="35"/>
      <c r="T159" s="38" t="s">
        <v>115</v>
      </c>
      <c r="U159" s="258"/>
      <c r="V159" s="969"/>
      <c r="W159" s="969"/>
      <c r="X159" s="969"/>
      <c r="Y159" s="969"/>
      <c r="AA159" s="989"/>
      <c r="AD159" s="33" t="str">
        <f>C159&amp;F159</f>
        <v>GhanaLC bn</v>
      </c>
    </row>
    <row r="160" spans="1:30" ht="58.5" customHeight="1">
      <c r="A160" s="1268"/>
      <c r="B160" s="1268"/>
      <c r="C160" s="1256"/>
      <c r="D160" s="1266"/>
      <c r="E160" s="35"/>
      <c r="F160" s="175" t="s">
        <v>116</v>
      </c>
      <c r="G160" s="258" t="e">
        <f>G159/VLOOKUP(C159,#REF!,8,0)</f>
        <v>#REF!</v>
      </c>
      <c r="H160" s="258" t="e">
        <f>H159/VLOOKUP($C159,#REF!,8,0)</f>
        <v>#REF!</v>
      </c>
      <c r="I160" s="1216"/>
      <c r="J160" s="258" t="e">
        <f>J159/VLOOKUP($C159,#REF!,8,0)</f>
        <v>#REF!</v>
      </c>
      <c r="K160" s="1219"/>
      <c r="L160" s="258"/>
      <c r="M160" s="1216"/>
      <c r="N160" s="35"/>
      <c r="O160" s="175" t="s">
        <v>116</v>
      </c>
      <c r="P160" s="412" t="e">
        <f t="shared" si="16"/>
        <v>#REF!</v>
      </c>
      <c r="Q160" s="258" t="e">
        <f>Q159/VLOOKUP($C159,#REF!,8,0)</f>
        <v>#REF!</v>
      </c>
      <c r="R160" s="1238"/>
      <c r="S160" s="35"/>
      <c r="T160" s="175" t="s">
        <v>116</v>
      </c>
      <c r="U160" s="258"/>
      <c r="V160" s="969"/>
      <c r="W160" s="969"/>
      <c r="X160" s="969"/>
      <c r="Y160" s="969"/>
      <c r="AA160" s="989"/>
      <c r="AD160" s="33" t="str">
        <f>C159&amp;F160</f>
        <v>GhanaUSD bn</v>
      </c>
    </row>
    <row r="161" spans="1:30" ht="58.5" customHeight="1">
      <c r="A161" s="1268"/>
      <c r="B161" s="1268"/>
      <c r="C161" s="1257"/>
      <c r="D161" s="1261"/>
      <c r="E161" s="12"/>
      <c r="F161" s="53" t="s">
        <v>117</v>
      </c>
      <c r="G161" s="252" t="e">
        <f>(G159/VLOOKUP(C159,#REF!,4,0))*100</f>
        <v>#REF!</v>
      </c>
      <c r="H161" s="252" t="e">
        <f>(H159/VLOOKUP($C159,#REF!,4,0))*100</f>
        <v>#REF!</v>
      </c>
      <c r="I161" s="1197"/>
      <c r="J161" s="252" t="e">
        <f>(J159/VLOOKUP($C159,#REF!,4,0))*100</f>
        <v>#REF!</v>
      </c>
      <c r="K161" s="1186"/>
      <c r="L161" s="252"/>
      <c r="M161" s="1197"/>
      <c r="N161" s="12"/>
      <c r="O161" s="53" t="s">
        <v>117</v>
      </c>
      <c r="P161" s="499" t="e">
        <f t="shared" si="16"/>
        <v>#REF!</v>
      </c>
      <c r="Q161" s="252" t="e">
        <f>(Q159/VLOOKUP($C159,#REF!,4,0))*100</f>
        <v>#REF!</v>
      </c>
      <c r="R161" s="1192"/>
      <c r="S161" s="12"/>
      <c r="T161" s="53" t="s">
        <v>117</v>
      </c>
      <c r="U161" s="252"/>
      <c r="V161" s="970"/>
      <c r="W161" s="970"/>
      <c r="X161" s="970"/>
      <c r="Y161" s="969"/>
      <c r="AA161" s="989"/>
      <c r="AD161" s="33" t="str">
        <f>C159&amp;F161</f>
        <v>Ghana% GDP</v>
      </c>
    </row>
    <row r="162" spans="1:30" ht="58.5" customHeight="1">
      <c r="A162" s="1268">
        <v>0</v>
      </c>
      <c r="B162" s="1268" t="s">
        <v>862</v>
      </c>
      <c r="C162" s="1255" t="s">
        <v>566</v>
      </c>
      <c r="D162" s="1252" t="s">
        <v>571</v>
      </c>
      <c r="E162" s="16"/>
      <c r="F162" s="38" t="s">
        <v>115</v>
      </c>
      <c r="G162" s="253">
        <f>H162+J162</f>
        <v>41.980000000000004</v>
      </c>
      <c r="H162" s="119">
        <v>35.06</v>
      </c>
      <c r="I162" s="1270" t="s">
        <v>1407</v>
      </c>
      <c r="J162" s="286">
        <v>6.92</v>
      </c>
      <c r="K162" s="1190" t="s">
        <v>1408</v>
      </c>
      <c r="L162" s="968"/>
      <c r="M162" s="968"/>
      <c r="N162" s="16"/>
      <c r="O162" s="38" t="s">
        <v>115</v>
      </c>
      <c r="P162" s="496">
        <f>Q162</f>
        <v>15</v>
      </c>
      <c r="Q162" s="253">
        <v>15</v>
      </c>
      <c r="R162" s="1184" t="s">
        <v>1290</v>
      </c>
      <c r="S162" s="16"/>
      <c r="T162" s="38" t="s">
        <v>115</v>
      </c>
      <c r="U162" s="286"/>
      <c r="V162" s="968"/>
      <c r="W162" s="968"/>
      <c r="X162" s="968"/>
      <c r="Y162" s="969"/>
      <c r="AA162" s="989"/>
      <c r="AD162" s="33" t="str">
        <f>C162&amp;F162</f>
        <v>Guinea-BissauLC bn</v>
      </c>
    </row>
    <row r="163" spans="1:30" ht="58.5" customHeight="1">
      <c r="A163" s="1268"/>
      <c r="B163" s="1268"/>
      <c r="C163" s="1256"/>
      <c r="D163" s="1253"/>
      <c r="E163" s="35"/>
      <c r="F163" s="175" t="s">
        <v>116</v>
      </c>
      <c r="G163" s="258" t="e">
        <f>G162/VLOOKUP($C162,#REF!,8,0)</f>
        <v>#REF!</v>
      </c>
      <c r="H163" s="258" t="e">
        <f>H162/VLOOKUP($C162,#REF!,8,0)</f>
        <v>#REF!</v>
      </c>
      <c r="I163" s="1318"/>
      <c r="J163" s="258" t="e">
        <f>J162/VLOOKUP($C162,#REF!,8,0)</f>
        <v>#REF!</v>
      </c>
      <c r="K163" s="1185"/>
      <c r="L163" s="258"/>
      <c r="M163" s="969"/>
      <c r="N163" s="35"/>
      <c r="O163" s="175" t="s">
        <v>116</v>
      </c>
      <c r="P163" s="412" t="e">
        <f>Q163</f>
        <v>#REF!</v>
      </c>
      <c r="Q163" s="258" t="e">
        <f>Q162/VLOOKUP($C162,#REF!,8,0)</f>
        <v>#REF!</v>
      </c>
      <c r="R163" s="1185"/>
      <c r="S163" s="35"/>
      <c r="T163" s="175" t="s">
        <v>116</v>
      </c>
      <c r="U163" s="258"/>
      <c r="V163" s="969"/>
      <c r="W163" s="969"/>
      <c r="X163" s="969"/>
      <c r="Y163" s="969"/>
      <c r="AA163" s="989"/>
      <c r="AD163" s="33" t="str">
        <f>C162&amp;F163</f>
        <v>Guinea-BissauUSD bn</v>
      </c>
    </row>
    <row r="164" spans="1:30" ht="58.5" customHeight="1">
      <c r="A164" s="1268"/>
      <c r="B164" s="1268"/>
      <c r="C164" s="1257"/>
      <c r="D164" s="1254"/>
      <c r="E164" s="12"/>
      <c r="F164" s="53" t="s">
        <v>117</v>
      </c>
      <c r="G164" s="252" t="e">
        <f>(G162/VLOOKUP($C162,#REF!,4,0))*100</f>
        <v>#REF!</v>
      </c>
      <c r="H164" s="252" t="e">
        <f>(H162/VLOOKUP($C162,#REF!,4,0))*100</f>
        <v>#REF!</v>
      </c>
      <c r="I164" s="1319"/>
      <c r="J164" s="252" t="e">
        <f>(J162/VLOOKUP($C162,#REF!,4,0))*100</f>
        <v>#REF!</v>
      </c>
      <c r="K164" s="1186"/>
      <c r="L164" s="252"/>
      <c r="M164" s="970"/>
      <c r="N164" s="12"/>
      <c r="O164" s="53" t="s">
        <v>117</v>
      </c>
      <c r="P164" s="499" t="e">
        <f>Q164</f>
        <v>#REF!</v>
      </c>
      <c r="Q164" s="252" t="e">
        <f>(Q162/VLOOKUP($C162,#REF!,4,0))*100</f>
        <v>#REF!</v>
      </c>
      <c r="R164" s="1186"/>
      <c r="S164" s="12"/>
      <c r="T164" s="53" t="s">
        <v>117</v>
      </c>
      <c r="U164" s="252"/>
      <c r="V164" s="970"/>
      <c r="W164" s="970"/>
      <c r="X164" s="970"/>
      <c r="Y164" s="969"/>
      <c r="AA164" s="989"/>
      <c r="AD164" s="33" t="str">
        <f>C162&amp;F164</f>
        <v>Guinea-Bissau% GDP</v>
      </c>
    </row>
    <row r="165" spans="1:30" s="996" customFormat="1" ht="58.5" customHeight="1">
      <c r="A165" s="1268">
        <v>0</v>
      </c>
      <c r="B165" s="1268" t="s">
        <v>862</v>
      </c>
      <c r="C165" s="1255" t="s">
        <v>38</v>
      </c>
      <c r="D165" s="1252" t="s">
        <v>571</v>
      </c>
      <c r="E165" s="244"/>
      <c r="F165" s="38" t="s">
        <v>115</v>
      </c>
      <c r="G165" s="255">
        <f>H165+J165</f>
        <v>13.6</v>
      </c>
      <c r="H165" s="979">
        <v>5.6</v>
      </c>
      <c r="I165" s="1220" t="s">
        <v>994</v>
      </c>
      <c r="J165" s="1006">
        <v>8</v>
      </c>
      <c r="K165" s="1184" t="s">
        <v>749</v>
      </c>
      <c r="L165" s="968"/>
      <c r="M165" s="1184" t="s">
        <v>995</v>
      </c>
      <c r="N165" s="244"/>
      <c r="O165" s="38" t="s">
        <v>115</v>
      </c>
      <c r="P165" s="496">
        <f t="shared" si="16"/>
        <v>12.475</v>
      </c>
      <c r="Q165" s="276"/>
      <c r="R165" s="968"/>
      <c r="S165" s="244"/>
      <c r="T165" s="38" t="s">
        <v>115</v>
      </c>
      <c r="U165" s="986">
        <v>6.875</v>
      </c>
      <c r="V165" s="1184" t="s">
        <v>753</v>
      </c>
      <c r="W165" s="979">
        <v>5.6</v>
      </c>
      <c r="X165" s="1184" t="s">
        <v>754</v>
      </c>
      <c r="Y165" s="968"/>
      <c r="Z165" s="14"/>
      <c r="AA165" s="968"/>
      <c r="AD165" s="33" t="str">
        <f>C165&amp;F165</f>
        <v>HondurasLC bn</v>
      </c>
    </row>
    <row r="166" spans="1:30" ht="58.5" customHeight="1">
      <c r="A166" s="1268"/>
      <c r="B166" s="1268"/>
      <c r="C166" s="1256"/>
      <c r="D166" s="1253"/>
      <c r="E166" s="35"/>
      <c r="F166" s="175" t="s">
        <v>116</v>
      </c>
      <c r="G166" s="258" t="e">
        <f>G165/#REF!</f>
        <v>#REF!</v>
      </c>
      <c r="H166" s="258" t="e">
        <f>H165/VLOOKUP($C165,#REF!,8,0)</f>
        <v>#REF!</v>
      </c>
      <c r="I166" s="1221"/>
      <c r="J166" s="258" t="e">
        <f>J165/VLOOKUP($C165,#REF!,8,0)</f>
        <v>#REF!</v>
      </c>
      <c r="K166" s="1185"/>
      <c r="L166" s="969"/>
      <c r="M166" s="1185"/>
      <c r="N166" s="35"/>
      <c r="O166" s="175" t="s">
        <v>116</v>
      </c>
      <c r="P166" s="412" t="e">
        <f t="shared" si="16"/>
        <v>#REF!</v>
      </c>
      <c r="Q166" s="269"/>
      <c r="R166" s="969"/>
      <c r="S166" s="35"/>
      <c r="T166" s="175" t="s">
        <v>116</v>
      </c>
      <c r="U166" s="258" t="e">
        <f>U165/VLOOKUP($C165,#REF!,8,0)</f>
        <v>#REF!</v>
      </c>
      <c r="V166" s="1185"/>
      <c r="W166" s="258" t="e">
        <f>W165/VLOOKUP($C165,#REF!,8,0)</f>
        <v>#REF!</v>
      </c>
      <c r="X166" s="1185"/>
      <c r="Y166" s="969"/>
      <c r="AA166" s="989"/>
      <c r="AD166" s="33" t="str">
        <f>C165&amp;F166</f>
        <v>HondurasUSD bn</v>
      </c>
    </row>
    <row r="167" spans="1:30" ht="58.5" customHeight="1">
      <c r="A167" s="1268"/>
      <c r="B167" s="1268"/>
      <c r="C167" s="1257"/>
      <c r="D167" s="1254"/>
      <c r="E167" s="12"/>
      <c r="F167" s="53" t="s">
        <v>117</v>
      </c>
      <c r="G167" s="252" t="e">
        <f>G165/#REF!*100</f>
        <v>#REF!</v>
      </c>
      <c r="H167" s="252" t="e">
        <f>(H165/VLOOKUP($C165,#REF!,4,0))*100</f>
        <v>#REF!</v>
      </c>
      <c r="I167" s="1222"/>
      <c r="J167" s="252" t="e">
        <f>(J165/VLOOKUP($C165,#REF!,4,0))*100</f>
        <v>#REF!</v>
      </c>
      <c r="K167" s="1186"/>
      <c r="L167" s="970"/>
      <c r="M167" s="1186"/>
      <c r="N167" s="12"/>
      <c r="O167" s="53" t="s">
        <v>117</v>
      </c>
      <c r="P167" s="499" t="e">
        <f t="shared" si="16"/>
        <v>#REF!</v>
      </c>
      <c r="Q167" s="267"/>
      <c r="R167" s="970"/>
      <c r="S167" s="12"/>
      <c r="T167" s="53" t="s">
        <v>117</v>
      </c>
      <c r="U167" s="252" t="e">
        <f>(U165/VLOOKUP($C165,#REF!,4,0))*100</f>
        <v>#REF!</v>
      </c>
      <c r="V167" s="1186"/>
      <c r="W167" s="252" t="e">
        <f>(W165/VLOOKUP($C165,#REF!,4,0))*100</f>
        <v>#REF!</v>
      </c>
      <c r="X167" s="1186"/>
      <c r="Y167" s="970"/>
      <c r="Z167" s="52"/>
      <c r="AA167" s="990"/>
      <c r="AD167" s="33" t="str">
        <f>C165&amp;F167</f>
        <v>Honduras% GDP</v>
      </c>
    </row>
    <row r="168" spans="1:30" ht="58.5" customHeight="1">
      <c r="A168" s="1268">
        <v>0</v>
      </c>
      <c r="B168" s="1268" t="s">
        <v>862</v>
      </c>
      <c r="C168" s="1256" t="s">
        <v>552</v>
      </c>
      <c r="D168" s="1266" t="s">
        <v>571</v>
      </c>
      <c r="E168" s="35"/>
      <c r="F168" s="38" t="s">
        <v>115</v>
      </c>
      <c r="G168" s="510">
        <f>H168+J168</f>
        <v>249.6</v>
      </c>
      <c r="H168" s="502">
        <v>7.6</v>
      </c>
      <c r="I168" s="1193" t="s">
        <v>1205</v>
      </c>
      <c r="J168" s="250">
        <f>56+186</f>
        <v>242</v>
      </c>
      <c r="K168" s="1193" t="s">
        <v>1253</v>
      </c>
      <c r="L168" s="753">
        <v>33</v>
      </c>
      <c r="M168" s="1193" t="s">
        <v>789</v>
      </c>
      <c r="N168" s="509"/>
      <c r="O168" s="505" t="s">
        <v>115</v>
      </c>
      <c r="P168" s="754"/>
      <c r="Q168" s="77"/>
      <c r="R168" s="969"/>
      <c r="S168" s="35"/>
      <c r="T168" s="38" t="s">
        <v>115</v>
      </c>
      <c r="U168" s="258"/>
      <c r="V168" s="969"/>
      <c r="W168" s="969"/>
      <c r="X168" s="969"/>
      <c r="Y168" s="969"/>
      <c r="AA168" s="989"/>
      <c r="AD168" s="33" t="str">
        <f>C168&amp;F168</f>
        <v>KenyaLC bn</v>
      </c>
    </row>
    <row r="169" spans="1:30" ht="58.5" customHeight="1">
      <c r="A169" s="1268"/>
      <c r="B169" s="1268"/>
      <c r="C169" s="1256"/>
      <c r="D169" s="1266"/>
      <c r="E169" s="35"/>
      <c r="F169" s="175" t="s">
        <v>116</v>
      </c>
      <c r="G169" s="258" t="e">
        <f>G168/VLOOKUP($C168,#REF!,8,0)</f>
        <v>#REF!</v>
      </c>
      <c r="H169" s="258" t="e">
        <f>H168/VLOOKUP($C168,#REF!,8,0)</f>
        <v>#REF!</v>
      </c>
      <c r="I169" s="1216"/>
      <c r="J169" s="258" t="e">
        <f>J168/VLOOKUP($C168,#REF!,8,0)</f>
        <v>#REF!</v>
      </c>
      <c r="K169" s="1216"/>
      <c r="L169" s="258" t="e">
        <f>L168/VLOOKUP($C168,#REF!,8,0)</f>
        <v>#REF!</v>
      </c>
      <c r="M169" s="1216"/>
      <c r="N169" s="509"/>
      <c r="O169" s="506" t="s">
        <v>116</v>
      </c>
      <c r="P169" s="755"/>
      <c r="Q169" s="258"/>
      <c r="R169" s="969"/>
      <c r="S169" s="35"/>
      <c r="T169" s="175" t="s">
        <v>116</v>
      </c>
      <c r="U169" s="258"/>
      <c r="V169" s="969"/>
      <c r="W169" s="969"/>
      <c r="X169" s="969"/>
      <c r="Y169" s="969"/>
      <c r="AA169" s="989"/>
      <c r="AD169" s="33" t="str">
        <f>C168&amp;F169</f>
        <v>KenyaUSD bn</v>
      </c>
    </row>
    <row r="170" spans="1:30" ht="91.5" customHeight="1">
      <c r="A170" s="1268"/>
      <c r="B170" s="1268"/>
      <c r="C170" s="1257"/>
      <c r="D170" s="1261"/>
      <c r="E170" s="12"/>
      <c r="F170" s="53" t="s">
        <v>117</v>
      </c>
      <c r="G170" s="252" t="e">
        <f>(G168/VLOOKUP($C168,#REF!,4,0))*100</f>
        <v>#REF!</v>
      </c>
      <c r="H170" s="252" t="e">
        <f>(H168/VLOOKUP($C168,#REF!,4,0))*100</f>
        <v>#REF!</v>
      </c>
      <c r="I170" s="1197"/>
      <c r="J170" s="252" t="e">
        <f>(J168/VLOOKUP($C168,#REF!,4,0))*100</f>
        <v>#REF!</v>
      </c>
      <c r="K170" s="1197"/>
      <c r="L170" s="252" t="e">
        <f>(L168/VLOOKUP($C168,#REF!,4,0))*100</f>
        <v>#REF!</v>
      </c>
      <c r="M170" s="1197"/>
      <c r="N170" s="509"/>
      <c r="O170" s="508" t="s">
        <v>117</v>
      </c>
      <c r="P170" s="746"/>
      <c r="Q170" s="252"/>
      <c r="R170" s="970"/>
      <c r="S170" s="12"/>
      <c r="T170" s="53" t="s">
        <v>117</v>
      </c>
      <c r="U170" s="252"/>
      <c r="V170" s="970"/>
      <c r="W170" s="970"/>
      <c r="X170" s="970"/>
      <c r="Y170" s="969"/>
      <c r="AA170" s="989"/>
      <c r="AD170" s="33" t="str">
        <f>C168&amp;F170</f>
        <v>Kenya% GDP</v>
      </c>
    </row>
    <row r="171" spans="1:30" ht="98.5" customHeight="1">
      <c r="A171" s="1268">
        <v>0</v>
      </c>
      <c r="B171" s="1268" t="s">
        <v>862</v>
      </c>
      <c r="C171" s="1255" t="s">
        <v>912</v>
      </c>
      <c r="D171" s="1259" t="s">
        <v>572</v>
      </c>
      <c r="E171" s="35"/>
      <c r="F171" s="38" t="s">
        <v>115</v>
      </c>
      <c r="G171" s="251">
        <f>H171+J171</f>
        <v>992</v>
      </c>
      <c r="H171" s="251">
        <v>185</v>
      </c>
      <c r="I171" s="1202" t="s">
        <v>1163</v>
      </c>
      <c r="J171" s="251">
        <f>647+160</f>
        <v>807</v>
      </c>
      <c r="K171" s="1193" t="s">
        <v>1208</v>
      </c>
      <c r="L171" s="258"/>
      <c r="M171" s="977"/>
      <c r="N171" s="509"/>
      <c r="O171" s="505" t="s">
        <v>115</v>
      </c>
      <c r="P171" s="756">
        <f t="shared" ref="P171:P176" si="17">Q171+U171</f>
        <v>300</v>
      </c>
      <c r="Q171" s="251">
        <v>300</v>
      </c>
      <c r="R171" s="1184" t="s">
        <v>1164</v>
      </c>
      <c r="S171" s="35"/>
      <c r="T171" s="38" t="s">
        <v>115</v>
      </c>
      <c r="U171" s="258"/>
      <c r="V171" s="969"/>
      <c r="W171" s="969"/>
      <c r="X171" s="969"/>
      <c r="Y171" s="969"/>
      <c r="AA171" s="989"/>
      <c r="AD171" s="33" t="str">
        <f t="shared" ref="AD171" si="18">C171&amp;F171</f>
        <v>MyanmarLC bn</v>
      </c>
    </row>
    <row r="172" spans="1:30" ht="84.65" customHeight="1">
      <c r="A172" s="1268"/>
      <c r="B172" s="1268"/>
      <c r="C172" s="1256"/>
      <c r="D172" s="1260"/>
      <c r="E172" s="35"/>
      <c r="F172" s="175" t="s">
        <v>116</v>
      </c>
      <c r="G172" s="258" t="e">
        <f>G171/VLOOKUP($C171,#REF!,8,0)</f>
        <v>#REF!</v>
      </c>
      <c r="H172" s="258" t="e">
        <f>H171/VLOOKUP($C171,#REF!,8,0)</f>
        <v>#REF!</v>
      </c>
      <c r="I172" s="1185"/>
      <c r="J172" s="258" t="e">
        <f>J171/VLOOKUP($C171,#REF!,8,0)</f>
        <v>#REF!</v>
      </c>
      <c r="K172" s="1196"/>
      <c r="L172" s="258"/>
      <c r="M172" s="977"/>
      <c r="N172" s="509"/>
      <c r="O172" s="506" t="s">
        <v>116</v>
      </c>
      <c r="P172" s="757" t="e">
        <f t="shared" si="17"/>
        <v>#REF!</v>
      </c>
      <c r="Q172" s="258" t="e">
        <f>Q171/VLOOKUP($C171,#REF!,8,0)</f>
        <v>#REF!</v>
      </c>
      <c r="R172" s="1185"/>
      <c r="S172" s="35"/>
      <c r="T172" s="175" t="s">
        <v>116</v>
      </c>
      <c r="U172" s="258"/>
      <c r="V172" s="969"/>
      <c r="W172" s="969"/>
      <c r="X172" s="969"/>
      <c r="Y172" s="969"/>
      <c r="AA172" s="989"/>
      <c r="AD172" s="33" t="str">
        <f t="shared" ref="AD172" si="19">C171&amp;F172</f>
        <v>MyanmarUSD bn</v>
      </c>
    </row>
    <row r="173" spans="1:30" ht="58.5" customHeight="1">
      <c r="A173" s="1268"/>
      <c r="B173" s="1268"/>
      <c r="C173" s="1257"/>
      <c r="D173" s="1261"/>
      <c r="E173" s="12"/>
      <c r="F173" s="53" t="s">
        <v>117</v>
      </c>
      <c r="G173" s="252" t="e">
        <f>(G171/VLOOKUP($C171,#REF!,4,0))*100</f>
        <v>#REF!</v>
      </c>
      <c r="H173" s="252" t="e">
        <f>(H171/VLOOKUP($C171,#REF!,4,0))*100</f>
        <v>#REF!</v>
      </c>
      <c r="I173" s="1186"/>
      <c r="J173" s="252" t="e">
        <f>(J171/VLOOKUP($C171,#REF!,4,0))*100</f>
        <v>#REF!</v>
      </c>
      <c r="K173" s="1197"/>
      <c r="L173" s="252"/>
      <c r="M173" s="978"/>
      <c r="N173" s="507"/>
      <c r="O173" s="508" t="s">
        <v>117</v>
      </c>
      <c r="P173" s="746" t="e">
        <f t="shared" si="17"/>
        <v>#REF!</v>
      </c>
      <c r="Q173" s="252" t="e">
        <f>(Q171/VLOOKUP($C171,#REF!,4,0))*100</f>
        <v>#REF!</v>
      </c>
      <c r="R173" s="1186"/>
      <c r="S173" s="12"/>
      <c r="T173" s="53" t="s">
        <v>117</v>
      </c>
      <c r="U173" s="252"/>
      <c r="V173" s="970"/>
      <c r="W173" s="970"/>
      <c r="X173" s="970"/>
      <c r="Y173" s="969"/>
      <c r="AA173" s="989"/>
      <c r="AD173" s="33" t="str">
        <f t="shared" ref="AD173" si="20">C171&amp;F173</f>
        <v>Myanmar% GDP</v>
      </c>
    </row>
    <row r="174" spans="1:30" ht="58.5" customHeight="1">
      <c r="A174" s="1268">
        <v>0</v>
      </c>
      <c r="B174" s="1268" t="s">
        <v>862</v>
      </c>
      <c r="C174" s="1255" t="s">
        <v>914</v>
      </c>
      <c r="D174" s="1259" t="s">
        <v>570</v>
      </c>
      <c r="E174" s="16"/>
      <c r="F174" s="38" t="s">
        <v>115</v>
      </c>
      <c r="G174" s="253">
        <v>67.5</v>
      </c>
      <c r="H174" s="253">
        <v>49.6</v>
      </c>
      <c r="I174" s="1323" t="s">
        <v>1312</v>
      </c>
      <c r="J174" s="253">
        <v>17.899999999999999</v>
      </c>
      <c r="K174" s="1193" t="s">
        <v>1319</v>
      </c>
      <c r="L174" s="286"/>
      <c r="M174" s="976"/>
      <c r="N174" s="534"/>
      <c r="O174" s="505" t="s">
        <v>115</v>
      </c>
      <c r="P174" s="756">
        <f t="shared" si="17"/>
        <v>50.5</v>
      </c>
      <c r="Q174" s="253">
        <v>50.5</v>
      </c>
      <c r="R174" s="1184" t="s">
        <v>1248</v>
      </c>
      <c r="S174" s="16"/>
      <c r="T174" s="38" t="s">
        <v>115</v>
      </c>
      <c r="U174" s="286"/>
      <c r="V174" s="968"/>
      <c r="W174" s="968"/>
      <c r="X174" s="968"/>
      <c r="Y174" s="969"/>
      <c r="AA174" s="989"/>
      <c r="AD174" s="33" t="str">
        <f t="shared" ref="AD174" si="21">C174&amp;F174</f>
        <v>NepalLC bn</v>
      </c>
    </row>
    <row r="175" spans="1:30" ht="58.5" customHeight="1">
      <c r="A175" s="1268"/>
      <c r="B175" s="1268"/>
      <c r="C175" s="1256"/>
      <c r="D175" s="1260"/>
      <c r="E175" s="35"/>
      <c r="F175" s="175" t="s">
        <v>116</v>
      </c>
      <c r="G175" s="258" t="e">
        <f>G174/VLOOKUP($C174,#REF!,8,0)</f>
        <v>#REF!</v>
      </c>
      <c r="H175" s="258" t="e">
        <f>H174/VLOOKUP($C174,#REF!,8,0)</f>
        <v>#REF!</v>
      </c>
      <c r="I175" s="1321"/>
      <c r="J175" s="258" t="e">
        <f>J174/VLOOKUP($C174,#REF!,8,0)</f>
        <v>#REF!</v>
      </c>
      <c r="K175" s="1196"/>
      <c r="L175" s="258"/>
      <c r="M175" s="977"/>
      <c r="N175" s="509"/>
      <c r="O175" s="506" t="s">
        <v>116</v>
      </c>
      <c r="P175" s="757" t="e">
        <f t="shared" si="17"/>
        <v>#REF!</v>
      </c>
      <c r="Q175" s="258" t="e">
        <f>Q174/VLOOKUP($C174,#REF!,8,0)</f>
        <v>#REF!</v>
      </c>
      <c r="R175" s="1185"/>
      <c r="S175" s="35"/>
      <c r="T175" s="175" t="s">
        <v>116</v>
      </c>
      <c r="U175" s="258"/>
      <c r="V175" s="969"/>
      <c r="W175" s="969"/>
      <c r="X175" s="969"/>
      <c r="Y175" s="969"/>
      <c r="AA175" s="989"/>
      <c r="AD175" s="33" t="str">
        <f t="shared" ref="AD175" si="22">C174&amp;F175</f>
        <v>NepalUSD bn</v>
      </c>
    </row>
    <row r="176" spans="1:30" ht="58.5" customHeight="1">
      <c r="A176" s="1268"/>
      <c r="B176" s="1268"/>
      <c r="C176" s="1257"/>
      <c r="D176" s="1261"/>
      <c r="E176" s="12"/>
      <c r="F176" s="53" t="s">
        <v>117</v>
      </c>
      <c r="G176" s="252" t="e">
        <f>(G174/VLOOKUP($C174,#REF!,4,0))*100</f>
        <v>#REF!</v>
      </c>
      <c r="H176" s="252" t="e">
        <f>(H174/VLOOKUP($C174,#REF!,4,0))*100</f>
        <v>#REF!</v>
      </c>
      <c r="I176" s="1322"/>
      <c r="J176" s="252" t="e">
        <f>(J174/VLOOKUP($C174,#REF!,4,0))*100</f>
        <v>#REF!</v>
      </c>
      <c r="K176" s="1197"/>
      <c r="L176" s="252"/>
      <c r="M176" s="978"/>
      <c r="N176" s="507"/>
      <c r="O176" s="508" t="s">
        <v>117</v>
      </c>
      <c r="P176" s="746" t="e">
        <f t="shared" si="17"/>
        <v>#REF!</v>
      </c>
      <c r="Q176" s="252" t="e">
        <f>(Q174/VLOOKUP($C174,#REF!,4,0))*100</f>
        <v>#REF!</v>
      </c>
      <c r="R176" s="1186"/>
      <c r="S176" s="12"/>
      <c r="T176" s="53" t="s">
        <v>117</v>
      </c>
      <c r="U176" s="252"/>
      <c r="V176" s="970"/>
      <c r="W176" s="970"/>
      <c r="X176" s="970"/>
      <c r="Y176" s="969"/>
      <c r="AA176" s="989"/>
      <c r="AD176" s="33" t="str">
        <f t="shared" ref="AD176" si="23">C174&amp;F176</f>
        <v>Nepal% GDP</v>
      </c>
    </row>
    <row r="177" spans="1:31" ht="107.5" customHeight="1">
      <c r="A177" s="1268">
        <v>0</v>
      </c>
      <c r="B177" s="1268" t="s">
        <v>862</v>
      </c>
      <c r="C177" s="1255" t="s">
        <v>915</v>
      </c>
      <c r="D177" s="1259" t="s">
        <v>571</v>
      </c>
      <c r="E177" s="16"/>
      <c r="F177" s="38" t="s">
        <v>115</v>
      </c>
      <c r="G177" s="253">
        <v>58.49</v>
      </c>
      <c r="H177" s="253">
        <v>25.75</v>
      </c>
      <c r="I177" s="1320" t="s">
        <v>1168</v>
      </c>
      <c r="J177" s="253">
        <f>G177-H177</f>
        <v>32.74</v>
      </c>
      <c r="K177" s="1228" t="s">
        <v>1169</v>
      </c>
      <c r="L177" s="286"/>
      <c r="M177" s="976"/>
      <c r="N177" s="16"/>
      <c r="O177" s="38" t="s">
        <v>115</v>
      </c>
      <c r="P177" s="813">
        <f>SUM(Q177,U177)</f>
        <v>100</v>
      </c>
      <c r="Q177" s="253">
        <v>50</v>
      </c>
      <c r="R177" s="1184" t="s">
        <v>1170</v>
      </c>
      <c r="S177" s="16"/>
      <c r="T177" s="38" t="s">
        <v>115</v>
      </c>
      <c r="U177" s="253">
        <v>50</v>
      </c>
      <c r="V177" s="1184" t="s">
        <v>1302</v>
      </c>
      <c r="W177" s="968"/>
      <c r="X177" s="968"/>
      <c r="Y177" s="969"/>
      <c r="AA177" s="989"/>
      <c r="AD177" s="33" t="str">
        <f t="shared" ref="AD177" si="24">C177&amp;F177</f>
        <v>NigerLC bn</v>
      </c>
    </row>
    <row r="178" spans="1:31" ht="91.5" customHeight="1">
      <c r="A178" s="1268"/>
      <c r="B178" s="1268"/>
      <c r="C178" s="1256"/>
      <c r="D178" s="1260"/>
      <c r="E178" s="35"/>
      <c r="F178" s="175" t="s">
        <v>116</v>
      </c>
      <c r="G178" s="258" t="e">
        <f>G177/VLOOKUP($C177,#REF!,8,0)</f>
        <v>#REF!</v>
      </c>
      <c r="H178" s="258" t="e">
        <f>H177/VLOOKUP($C177,#REF!,8,0)</f>
        <v>#REF!</v>
      </c>
      <c r="I178" s="1321"/>
      <c r="J178" s="258" t="e">
        <f>J177/VLOOKUP($C177,#REF!,8,0)</f>
        <v>#REF!</v>
      </c>
      <c r="K178" s="1185"/>
      <c r="L178" s="258"/>
      <c r="M178" s="977"/>
      <c r="N178" s="35"/>
      <c r="O178" s="175" t="s">
        <v>116</v>
      </c>
      <c r="P178" s="732" t="e">
        <f>SUM(Q178,U178)</f>
        <v>#REF!</v>
      </c>
      <c r="Q178" s="258" t="e">
        <f>Q177/VLOOKUP($C177,#REF!,8,0)</f>
        <v>#REF!</v>
      </c>
      <c r="R178" s="1185"/>
      <c r="S178" s="35"/>
      <c r="T178" s="175" t="s">
        <v>116</v>
      </c>
      <c r="U178" s="258" t="e">
        <f>U177/VLOOKUP($C177,#REF!,8,0)</f>
        <v>#REF!</v>
      </c>
      <c r="V178" s="1185"/>
      <c r="W178" s="969"/>
      <c r="X178" s="969"/>
      <c r="Y178" s="969"/>
      <c r="AA178" s="989"/>
      <c r="AD178" s="33" t="str">
        <f t="shared" ref="AD178" si="25">C177&amp;F178</f>
        <v>NigerUSD bn</v>
      </c>
    </row>
    <row r="179" spans="1:31" ht="99.65" customHeight="1">
      <c r="A179" s="1268"/>
      <c r="B179" s="1268"/>
      <c r="C179" s="1257"/>
      <c r="D179" s="1261"/>
      <c r="E179" s="12"/>
      <c r="F179" s="53" t="s">
        <v>117</v>
      </c>
      <c r="G179" s="252" t="e">
        <f>(G177/VLOOKUP($C177,#REF!,4,0))*100</f>
        <v>#REF!</v>
      </c>
      <c r="H179" s="252" t="e">
        <f>(H177/VLOOKUP($C177,#REF!,4,0))*100</f>
        <v>#REF!</v>
      </c>
      <c r="I179" s="1322"/>
      <c r="J179" s="252" t="e">
        <f>(J177/VLOOKUP($C177,#REF!,4,0))*100</f>
        <v>#REF!</v>
      </c>
      <c r="K179" s="1186"/>
      <c r="L179" s="252"/>
      <c r="M179" s="978"/>
      <c r="N179" s="12"/>
      <c r="O179" s="53" t="s">
        <v>117</v>
      </c>
      <c r="P179" s="499" t="e">
        <f>SUM(Q179,U179)</f>
        <v>#REF!</v>
      </c>
      <c r="Q179" s="252" t="e">
        <f>(Q177/VLOOKUP($C177,#REF!,4,0))*100</f>
        <v>#REF!</v>
      </c>
      <c r="R179" s="1186"/>
      <c r="S179" s="12"/>
      <c r="T179" s="53" t="s">
        <v>117</v>
      </c>
      <c r="U179" s="252" t="e">
        <f>(U177/VLOOKUP($C177,#REF!,4,0))*100</f>
        <v>#REF!</v>
      </c>
      <c r="V179" s="1186"/>
      <c r="W179" s="970"/>
      <c r="X179" s="970"/>
      <c r="Y179" s="969"/>
      <c r="AA179" s="989"/>
      <c r="AD179" s="33" t="str">
        <f t="shared" ref="AD179" si="26">C177&amp;F179</f>
        <v>Niger% GDP</v>
      </c>
    </row>
    <row r="180" spans="1:31" s="997" customFormat="1" ht="74.5" customHeight="1">
      <c r="A180" s="1268">
        <v>0</v>
      </c>
      <c r="B180" s="1268" t="s">
        <v>862</v>
      </c>
      <c r="C180" s="1256" t="s">
        <v>29</v>
      </c>
      <c r="D180" s="1252" t="s">
        <v>570</v>
      </c>
      <c r="F180" s="175" t="s">
        <v>115</v>
      </c>
      <c r="G180" s="959">
        <v>2300</v>
      </c>
      <c r="H180" s="980">
        <v>500</v>
      </c>
      <c r="I180" s="1185" t="s">
        <v>730</v>
      </c>
      <c r="J180" s="186">
        <f>G180-H180</f>
        <v>1800</v>
      </c>
      <c r="K180" s="1185" t="s">
        <v>1157</v>
      </c>
      <c r="L180" s="969"/>
      <c r="M180" s="969"/>
      <c r="O180" s="175" t="s">
        <v>115</v>
      </c>
      <c r="P180" s="969"/>
      <c r="Q180" s="277"/>
      <c r="R180" s="969"/>
      <c r="T180" s="175" t="s">
        <v>115</v>
      </c>
      <c r="U180" s="1007"/>
      <c r="V180" s="969"/>
      <c r="W180" s="969"/>
      <c r="X180" s="969"/>
      <c r="Y180" s="968"/>
      <c r="Z180" s="996"/>
      <c r="AA180" s="968"/>
      <c r="AD180" s="33" t="str">
        <f t="shared" ref="AD180" si="27">C180&amp;F180</f>
        <v>NigeriaLC bn</v>
      </c>
      <c r="AE180" s="33"/>
    </row>
    <row r="181" spans="1:31" s="37" customFormat="1" ht="73.5" customHeight="1">
      <c r="A181" s="1268"/>
      <c r="B181" s="1268"/>
      <c r="C181" s="1256"/>
      <c r="D181" s="1253"/>
      <c r="E181" s="997"/>
      <c r="F181" s="175" t="s">
        <v>116</v>
      </c>
      <c r="G181" s="1007" t="e">
        <f>G180/VLOOKUP($C180,#REF!,8,0)</f>
        <v>#REF!</v>
      </c>
      <c r="H181" s="258" t="e">
        <f>H180/VLOOKUP($C180,#REF!,8,0)</f>
        <v>#REF!</v>
      </c>
      <c r="I181" s="1185"/>
      <c r="J181" s="1007" t="e">
        <f>J180/VLOOKUP($C180,#REF!,8,0)</f>
        <v>#REF!</v>
      </c>
      <c r="K181" s="1219"/>
      <c r="L181" s="969"/>
      <c r="M181" s="969"/>
      <c r="N181" s="997"/>
      <c r="O181" s="175" t="s">
        <v>116</v>
      </c>
      <c r="P181" s="969"/>
      <c r="Q181" s="277"/>
      <c r="R181" s="969"/>
      <c r="S181" s="997"/>
      <c r="T181" s="175" t="s">
        <v>116</v>
      </c>
      <c r="U181" s="1007"/>
      <c r="V181" s="969"/>
      <c r="W181" s="969"/>
      <c r="X181" s="969"/>
      <c r="Y181" s="969"/>
      <c r="Z181" s="997"/>
      <c r="AA181" s="969"/>
      <c r="AD181" s="33" t="str">
        <f t="shared" ref="AD181" si="28">C180&amp;F181</f>
        <v>NigeriaUSD bn</v>
      </c>
      <c r="AE181" s="33"/>
    </row>
    <row r="182" spans="1:31" ht="71.5" customHeight="1">
      <c r="A182" s="1268"/>
      <c r="B182" s="1268"/>
      <c r="C182" s="1257"/>
      <c r="D182" s="1254"/>
      <c r="E182" s="12"/>
      <c r="F182" s="53" t="s">
        <v>117</v>
      </c>
      <c r="G182" s="252" t="e">
        <f>(G180/VLOOKUP($C180,#REF!,4,0))*100</f>
        <v>#REF!</v>
      </c>
      <c r="H182" s="252" t="e">
        <f>(H180/VLOOKUP($C180,#REF!,4,0))*100</f>
        <v>#REF!</v>
      </c>
      <c r="I182" s="1186"/>
      <c r="J182" s="252" t="e">
        <f>(J180/VLOOKUP($C180,#REF!,4,0))*100</f>
        <v>#REF!</v>
      </c>
      <c r="K182" s="1186"/>
      <c r="L182" s="970"/>
      <c r="M182" s="970"/>
      <c r="N182" s="12"/>
      <c r="O182" s="53" t="s">
        <v>117</v>
      </c>
      <c r="P182" s="1004"/>
      <c r="Q182" s="267"/>
      <c r="R182" s="1004"/>
      <c r="S182" s="12"/>
      <c r="T182" s="53" t="s">
        <v>117</v>
      </c>
      <c r="U182" s="252"/>
      <c r="V182" s="970"/>
      <c r="W182" s="970"/>
      <c r="X182" s="970"/>
      <c r="Y182" s="970"/>
      <c r="Z182" s="52"/>
      <c r="AA182" s="990"/>
      <c r="AD182" s="33" t="str">
        <f t="shared" ref="AD182" si="29">C180&amp;F182</f>
        <v>Nigeria% GDP</v>
      </c>
    </row>
    <row r="183" spans="1:31" ht="58.5" customHeight="1">
      <c r="A183" s="1268">
        <v>0</v>
      </c>
      <c r="B183" s="1268" t="s">
        <v>862</v>
      </c>
      <c r="C183" s="1256" t="s">
        <v>93</v>
      </c>
      <c r="D183" s="1266" t="s">
        <v>571</v>
      </c>
      <c r="E183" s="14"/>
      <c r="F183" s="38" t="s">
        <v>115</v>
      </c>
      <c r="G183" s="255">
        <f>H183+J183</f>
        <v>443</v>
      </c>
      <c r="H183" s="255">
        <v>79</v>
      </c>
      <c r="I183" s="1193" t="s">
        <v>654</v>
      </c>
      <c r="J183" s="981">
        <v>364</v>
      </c>
      <c r="K183" s="1193" t="s">
        <v>1409</v>
      </c>
      <c r="L183" s="979">
        <v>15</v>
      </c>
      <c r="M183" s="1193" t="s">
        <v>1410</v>
      </c>
      <c r="N183" s="14"/>
      <c r="O183" s="175" t="s">
        <v>115</v>
      </c>
      <c r="P183" s="255">
        <f>Q183+U183+W183</f>
        <v>70</v>
      </c>
      <c r="Q183" s="282"/>
      <c r="R183" s="1190"/>
      <c r="S183" s="14"/>
      <c r="T183" s="175" t="s">
        <v>115</v>
      </c>
      <c r="U183" s="255">
        <v>70</v>
      </c>
      <c r="V183" s="1184" t="s">
        <v>814</v>
      </c>
      <c r="W183" s="968"/>
      <c r="X183" s="968"/>
      <c r="Y183" s="968"/>
      <c r="Z183" s="14"/>
      <c r="AA183" s="968"/>
      <c r="AD183" s="33" t="str">
        <f t="shared" ref="AD183" si="30">C183&amp;F183</f>
        <v>SenegalLC bn</v>
      </c>
    </row>
    <row r="184" spans="1:31" ht="58.5" customHeight="1">
      <c r="A184" s="1268"/>
      <c r="B184" s="1268"/>
      <c r="C184" s="1256"/>
      <c r="D184" s="1266"/>
      <c r="E184" s="37"/>
      <c r="F184" s="175" t="s">
        <v>116</v>
      </c>
      <c r="G184" s="258" t="e">
        <f>G183/VLOOKUP($C183,#REF!,8,0)</f>
        <v>#REF!</v>
      </c>
      <c r="H184" s="258" t="e">
        <f>H183/VLOOKUP($C183,#REF!,8,0)</f>
        <v>#REF!</v>
      </c>
      <c r="I184" s="1196"/>
      <c r="J184" s="258" t="e">
        <f>J183/VLOOKUP($C183,#REF!,8,0)</f>
        <v>#REF!</v>
      </c>
      <c r="K184" s="1196"/>
      <c r="L184" s="258" t="e">
        <f>L183/VLOOKUP($C183,#REF!,8,0)</f>
        <v>#REF!</v>
      </c>
      <c r="M184" s="1216"/>
      <c r="N184" s="37"/>
      <c r="O184" s="175" t="s">
        <v>116</v>
      </c>
      <c r="P184" s="269" t="e">
        <f>Q184+U184+W184</f>
        <v>#REF!</v>
      </c>
      <c r="Q184" s="269"/>
      <c r="R184" s="1191"/>
      <c r="S184" s="37"/>
      <c r="T184" s="175" t="s">
        <v>116</v>
      </c>
      <c r="U184" s="258" t="e">
        <f>U183/VLOOKUP($C183,#REF!,8,0)</f>
        <v>#REF!</v>
      </c>
      <c r="V184" s="1219"/>
      <c r="W184" s="969"/>
      <c r="X184" s="969"/>
      <c r="Y184" s="969"/>
      <c r="Z184" s="37"/>
      <c r="AA184" s="969"/>
      <c r="AD184" s="33" t="str">
        <f t="shared" ref="AD184" si="31">C183&amp;F184</f>
        <v>SenegalUSD bn</v>
      </c>
    </row>
    <row r="185" spans="1:31" ht="74.5" customHeight="1">
      <c r="A185" s="1268"/>
      <c r="B185" s="1268"/>
      <c r="C185" s="1257"/>
      <c r="D185" s="1261"/>
      <c r="E185" s="12"/>
      <c r="F185" s="53" t="s">
        <v>117</v>
      </c>
      <c r="G185" s="252" t="e">
        <f>(G183/VLOOKUP($C183,#REF!,4,0))*100</f>
        <v>#REF!</v>
      </c>
      <c r="H185" s="252" t="e">
        <f>(H183/VLOOKUP($C183,#REF!,4,0))*100</f>
        <v>#REF!</v>
      </c>
      <c r="I185" s="1197"/>
      <c r="J185" s="252" t="e">
        <f>(J183/VLOOKUP($C183,#REF!,4,0))*100</f>
        <v>#REF!</v>
      </c>
      <c r="K185" s="1197"/>
      <c r="L185" s="252" t="e">
        <f>(L183/VLOOKUP($C183,#REF!,4,0))*100</f>
        <v>#REF!</v>
      </c>
      <c r="M185" s="1197"/>
      <c r="N185" s="12"/>
      <c r="O185" s="53" t="s">
        <v>117</v>
      </c>
      <c r="P185" s="267" t="e">
        <f>Q185+U185+W185</f>
        <v>#REF!</v>
      </c>
      <c r="Q185" s="267"/>
      <c r="R185" s="1192"/>
      <c r="S185" s="12"/>
      <c r="T185" s="53" t="s">
        <v>117</v>
      </c>
      <c r="U185" s="252" t="e">
        <f>(U183/VLOOKUP($C183,#REF!,4,0))*100</f>
        <v>#REF!</v>
      </c>
      <c r="V185" s="1186"/>
      <c r="W185" s="970"/>
      <c r="X185" s="970"/>
      <c r="Y185" s="970"/>
      <c r="Z185" s="52"/>
      <c r="AA185" s="990"/>
      <c r="AD185" s="33" t="str">
        <f t="shared" ref="AD185" si="32">C183&amp;F185</f>
        <v>Senegal% GDP</v>
      </c>
    </row>
    <row r="186" spans="1:31" ht="152.5" customHeight="1">
      <c r="A186" s="1268">
        <v>0</v>
      </c>
      <c r="B186" s="1268" t="s">
        <v>862</v>
      </c>
      <c r="C186" s="1255" t="s">
        <v>913</v>
      </c>
      <c r="D186" s="1259" t="s">
        <v>570</v>
      </c>
      <c r="E186" s="35"/>
      <c r="F186" s="38" t="s">
        <v>115</v>
      </c>
      <c r="G186" s="186">
        <v>22200</v>
      </c>
      <c r="H186" s="186">
        <v>4500</v>
      </c>
      <c r="I186" s="1184" t="s">
        <v>1173</v>
      </c>
      <c r="J186" s="186">
        <f>G186-H186</f>
        <v>17700</v>
      </c>
      <c r="K186" s="1184" t="s">
        <v>1315</v>
      </c>
      <c r="L186" s="258"/>
      <c r="M186" s="977"/>
      <c r="N186" s="35"/>
      <c r="O186" s="38" t="s">
        <v>115</v>
      </c>
      <c r="P186" s="186">
        <f>Q186+U186</f>
        <v>14575</v>
      </c>
      <c r="Q186" s="186">
        <v>14575</v>
      </c>
      <c r="R186" s="1190" t="s">
        <v>1316</v>
      </c>
      <c r="S186" s="35"/>
      <c r="T186" s="38" t="s">
        <v>115</v>
      </c>
      <c r="U186" s="258"/>
      <c r="V186" s="969"/>
      <c r="W186" s="969"/>
      <c r="X186" s="969"/>
      <c r="Y186" s="969"/>
      <c r="AA186" s="989"/>
      <c r="AD186" s="33" t="str">
        <f t="shared" ref="AD186" si="33">C186&amp;F186</f>
        <v>UzbekistanLC bn</v>
      </c>
    </row>
    <row r="187" spans="1:31" ht="152.5" customHeight="1">
      <c r="A187" s="1268"/>
      <c r="B187" s="1268"/>
      <c r="C187" s="1256"/>
      <c r="D187" s="1260"/>
      <c r="E187" s="35"/>
      <c r="F187" s="175" t="s">
        <v>116</v>
      </c>
      <c r="G187" s="258" t="e">
        <f>G186/VLOOKUP($C186,#REF!,8,0)</f>
        <v>#REF!</v>
      </c>
      <c r="H187" s="258" t="e">
        <f>H186/VLOOKUP($C186,#REF!,8,0)</f>
        <v>#REF!</v>
      </c>
      <c r="I187" s="1185"/>
      <c r="J187" s="258" t="e">
        <f>J186/VLOOKUP($C186,#REF!,8,0)</f>
        <v>#REF!</v>
      </c>
      <c r="K187" s="1185"/>
      <c r="L187" s="258"/>
      <c r="M187" s="977"/>
      <c r="N187" s="35"/>
      <c r="O187" s="175" t="s">
        <v>116</v>
      </c>
      <c r="P187" s="269" t="e">
        <f>Q187+U187</f>
        <v>#REF!</v>
      </c>
      <c r="Q187" s="258" t="e">
        <f>Q186/VLOOKUP($C186,#REF!,8,0)</f>
        <v>#REF!</v>
      </c>
      <c r="R187" s="1191"/>
      <c r="S187" s="35"/>
      <c r="T187" s="175" t="s">
        <v>116</v>
      </c>
      <c r="U187" s="258"/>
      <c r="V187" s="969"/>
      <c r="W187" s="969"/>
      <c r="X187" s="969"/>
      <c r="Y187" s="969"/>
      <c r="AA187" s="989"/>
      <c r="AD187" s="33" t="str">
        <f t="shared" ref="AD187" si="34">C186&amp;F187</f>
        <v>UzbekistanUSD bn</v>
      </c>
    </row>
    <row r="188" spans="1:31" ht="142.5" customHeight="1">
      <c r="A188" s="1268"/>
      <c r="B188" s="1268"/>
      <c r="C188" s="1257"/>
      <c r="D188" s="1261"/>
      <c r="E188" s="35"/>
      <c r="F188" s="53" t="s">
        <v>117</v>
      </c>
      <c r="G188" s="258" t="e">
        <f>(G186/VLOOKUP($C186,#REF!,4,0))*100</f>
        <v>#REF!</v>
      </c>
      <c r="H188" s="258" t="e">
        <f>(H186/VLOOKUP($C186,#REF!,4,0))*100</f>
        <v>#REF!</v>
      </c>
      <c r="I188" s="1186"/>
      <c r="J188" s="258" t="e">
        <f>(J186/VLOOKUP($C186,#REF!,4,0))*100</f>
        <v>#REF!</v>
      </c>
      <c r="K188" s="1186"/>
      <c r="L188" s="258"/>
      <c r="M188" s="977"/>
      <c r="N188" s="35"/>
      <c r="O188" s="53" t="s">
        <v>117</v>
      </c>
      <c r="P188" s="269" t="e">
        <f>Q188+U188</f>
        <v>#REF!</v>
      </c>
      <c r="Q188" s="258" t="e">
        <f>(Q186/VLOOKUP($C186,#REF!,4,0))*100</f>
        <v>#REF!</v>
      </c>
      <c r="R188" s="1192"/>
      <c r="S188" s="35"/>
      <c r="T188" s="53" t="s">
        <v>117</v>
      </c>
      <c r="U188" s="258"/>
      <c r="V188" s="969"/>
      <c r="W188" s="969"/>
      <c r="X188" s="969"/>
      <c r="Y188" s="969"/>
      <c r="AA188" s="989"/>
      <c r="AD188" s="33" t="str">
        <f t="shared" ref="AD188" si="35">C186&amp;F188</f>
        <v>Uzbekistan% GDP</v>
      </c>
    </row>
    <row r="189" spans="1:31" ht="96.65" customHeight="1">
      <c r="A189" s="1268">
        <v>0</v>
      </c>
      <c r="B189" s="1268" t="s">
        <v>862</v>
      </c>
      <c r="C189" s="1256" t="s">
        <v>33</v>
      </c>
      <c r="D189" s="1266" t="s">
        <v>583</v>
      </c>
      <c r="E189" s="14"/>
      <c r="F189" s="38" t="s">
        <v>115</v>
      </c>
      <c r="G189" s="186">
        <f>H189+J189</f>
        <v>42700</v>
      </c>
      <c r="H189" s="186">
        <v>6700</v>
      </c>
      <c r="I189" s="1220" t="s">
        <v>757</v>
      </c>
      <c r="J189" s="485">
        <v>36000</v>
      </c>
      <c r="K189" s="1184" t="s">
        <v>758</v>
      </c>
      <c r="L189" s="186">
        <v>180000</v>
      </c>
      <c r="M189" s="1258" t="s">
        <v>759</v>
      </c>
      <c r="N189" s="14"/>
      <c r="O189" s="175" t="s">
        <v>115</v>
      </c>
      <c r="P189" s="186">
        <f>SUM(Q189,W189)</f>
        <v>37500</v>
      </c>
      <c r="Q189" s="186">
        <v>9500</v>
      </c>
      <c r="R189" s="1184" t="s">
        <v>1172</v>
      </c>
      <c r="S189" s="14"/>
      <c r="T189" s="175" t="s">
        <v>115</v>
      </c>
      <c r="U189" s="1006"/>
      <c r="V189" s="968"/>
      <c r="W189" s="186">
        <v>28000</v>
      </c>
      <c r="X189" s="1184" t="s">
        <v>1249</v>
      </c>
      <c r="Y189" s="1184" t="s">
        <v>295</v>
      </c>
      <c r="Z189" s="14"/>
      <c r="AA189" s="968"/>
      <c r="AD189" s="33" t="str">
        <f t="shared" ref="AD189" si="36">C189&amp;F189</f>
        <v>VietnamLC bn</v>
      </c>
    </row>
    <row r="190" spans="1:31" ht="95.5" customHeight="1">
      <c r="A190" s="1268"/>
      <c r="B190" s="1268"/>
      <c r="C190" s="1256"/>
      <c r="D190" s="1266"/>
      <c r="E190" s="35"/>
      <c r="F190" s="175" t="s">
        <v>116</v>
      </c>
      <c r="G190" s="258" t="e">
        <f>G189/VLOOKUP($C189,#REF!,8,0)</f>
        <v>#REF!</v>
      </c>
      <c r="H190" s="258" t="e">
        <f>H189/VLOOKUP($C189,#REF!,8,0)</f>
        <v>#REF!</v>
      </c>
      <c r="I190" s="1287"/>
      <c r="J190" s="258" t="e">
        <f>J189/VLOOKUP($C189,#REF!,8,0)</f>
        <v>#REF!</v>
      </c>
      <c r="K190" s="1185"/>
      <c r="L190" s="258" t="e">
        <f>L189/VLOOKUP($C189,#REF!,8,0)</f>
        <v>#REF!</v>
      </c>
      <c r="M190" s="1284"/>
      <c r="N190" s="35"/>
      <c r="O190" s="175" t="s">
        <v>116</v>
      </c>
      <c r="P190" s="473" t="e">
        <f>P189/VLOOKUP($C189,#REF!,8,0)</f>
        <v>#REF!</v>
      </c>
      <c r="Q190" s="473" t="e">
        <f>Q189/VLOOKUP($C189,#REF!,8,0)</f>
        <v>#REF!</v>
      </c>
      <c r="R190" s="1185"/>
      <c r="S190" s="35"/>
      <c r="T190" s="175" t="s">
        <v>116</v>
      </c>
      <c r="U190" s="258"/>
      <c r="V190" s="969"/>
      <c r="W190" s="473" t="e">
        <f>W189/VLOOKUP($C189,#REF!,8,0)</f>
        <v>#REF!</v>
      </c>
      <c r="X190" s="1185"/>
      <c r="Y190" s="1185"/>
      <c r="AA190" s="989"/>
      <c r="AD190" s="33" t="str">
        <f t="shared" ref="AD190" si="37">C189&amp;F190</f>
        <v>VietnamUSD bn</v>
      </c>
    </row>
    <row r="191" spans="1:31" ht="107.5" customHeight="1">
      <c r="A191" s="1268"/>
      <c r="B191" s="1268"/>
      <c r="C191" s="1257"/>
      <c r="D191" s="1261"/>
      <c r="E191" s="12"/>
      <c r="F191" s="53" t="s">
        <v>117</v>
      </c>
      <c r="G191" s="252" t="e">
        <f>(G189/VLOOKUP($C189,#REF!,4,0))*100</f>
        <v>#REF!</v>
      </c>
      <c r="H191" s="252" t="e">
        <f>(H189/VLOOKUP($C189,#REF!,4,0))*100</f>
        <v>#REF!</v>
      </c>
      <c r="I191" s="1222"/>
      <c r="J191" s="252" t="e">
        <f>(J189/VLOOKUP($C189,#REF!,4,0))*100</f>
        <v>#REF!</v>
      </c>
      <c r="K191" s="1186"/>
      <c r="L191" s="252" t="e">
        <f>(L189/VLOOKUP($C189,#REF!,4,0))*100</f>
        <v>#REF!</v>
      </c>
      <c r="M191" s="1243"/>
      <c r="N191" s="12"/>
      <c r="O191" s="53" t="s">
        <v>117</v>
      </c>
      <c r="P191" s="552" t="e">
        <f>(P189/VLOOKUP($C189,#REF!,4,0))*100</f>
        <v>#REF!</v>
      </c>
      <c r="Q191" s="552" t="e">
        <f>(Q189/VLOOKUP($C189,#REF!,4,0))*100</f>
        <v>#REF!</v>
      </c>
      <c r="R191" s="1186"/>
      <c r="S191" s="12"/>
      <c r="T191" s="53" t="s">
        <v>117</v>
      </c>
      <c r="U191" s="252"/>
      <c r="V191" s="970"/>
      <c r="W191" s="552" t="e">
        <f>(W189/VLOOKUP($C189,#REF!,4,0))*100</f>
        <v>#REF!</v>
      </c>
      <c r="X191" s="1186"/>
      <c r="Y191" s="1186"/>
      <c r="Z191" s="52"/>
      <c r="AA191" s="990"/>
      <c r="AD191" s="33" t="str">
        <f t="shared" ref="AD191" si="38">C189&amp;F191</f>
        <v>Vietnam% GDP</v>
      </c>
    </row>
    <row r="192" spans="1:31" ht="58.5" customHeight="1">
      <c r="A192" s="1268">
        <v>0</v>
      </c>
      <c r="B192" s="1268" t="s">
        <v>862</v>
      </c>
      <c r="C192" s="1255" t="s">
        <v>916</v>
      </c>
      <c r="D192" s="1259" t="s">
        <v>571</v>
      </c>
      <c r="E192" s="16"/>
      <c r="F192" s="38" t="s">
        <v>115</v>
      </c>
      <c r="G192" s="286">
        <v>7.1</v>
      </c>
      <c r="H192" s="286">
        <v>1</v>
      </c>
      <c r="I192" s="1184" t="s">
        <v>1176</v>
      </c>
      <c r="J192" s="286">
        <v>6.1</v>
      </c>
      <c r="K192" s="1184" t="s">
        <v>1177</v>
      </c>
      <c r="L192" s="286"/>
      <c r="M192" s="993"/>
      <c r="N192" s="16"/>
      <c r="O192" s="38" t="s">
        <v>115</v>
      </c>
      <c r="P192" s="733">
        <f>Q192+U192+W192</f>
        <v>0.9</v>
      </c>
      <c r="Q192" s="733">
        <v>0.9</v>
      </c>
      <c r="R192" s="1184" t="s">
        <v>1178</v>
      </c>
      <c r="S192" s="16"/>
      <c r="T192" s="38" t="s">
        <v>115</v>
      </c>
      <c r="U192" s="286"/>
      <c r="V192" s="968"/>
      <c r="W192" s="733"/>
      <c r="X192" s="968"/>
      <c r="Y192" s="969"/>
      <c r="AA192" s="989"/>
      <c r="AD192" s="33" t="str">
        <f t="shared" ref="AD192" si="39">C192&amp;F192</f>
        <v>ZambiaLC bn</v>
      </c>
    </row>
    <row r="193" spans="1:30" ht="58.5" customHeight="1">
      <c r="A193" s="1268"/>
      <c r="B193" s="1268"/>
      <c r="C193" s="1256"/>
      <c r="D193" s="1260"/>
      <c r="E193" s="35"/>
      <c r="F193" s="175" t="s">
        <v>116</v>
      </c>
      <c r="G193" s="258" t="e">
        <f>G192/VLOOKUP($C192,#REF!,8,0)</f>
        <v>#REF!</v>
      </c>
      <c r="H193" s="258" t="e">
        <f>H192/VLOOKUP($C192,#REF!,8,0)</f>
        <v>#REF!</v>
      </c>
      <c r="I193" s="1185"/>
      <c r="J193" s="258" t="e">
        <f>J192/VLOOKUP($C192,#REF!,8,0)</f>
        <v>#REF!</v>
      </c>
      <c r="K193" s="1185"/>
      <c r="L193" s="258"/>
      <c r="M193" s="994"/>
      <c r="N193" s="35"/>
      <c r="O193" s="175" t="s">
        <v>116</v>
      </c>
      <c r="P193" s="473" t="e">
        <f>Q193+U193+W193</f>
        <v>#REF!</v>
      </c>
      <c r="Q193" s="258" t="e">
        <f>Q192/VLOOKUP($C192,#REF!,8,0)</f>
        <v>#REF!</v>
      </c>
      <c r="R193" s="1185"/>
      <c r="S193" s="35"/>
      <c r="T193" s="175" t="s">
        <v>116</v>
      </c>
      <c r="U193" s="258"/>
      <c r="V193" s="969"/>
      <c r="W193" s="473"/>
      <c r="X193" s="969"/>
      <c r="Y193" s="969"/>
      <c r="AA193" s="989"/>
      <c r="AD193" s="33" t="str">
        <f t="shared" ref="AD193" si="40">C192&amp;F193</f>
        <v>ZambiaUSD bn</v>
      </c>
    </row>
    <row r="194" spans="1:30" ht="58.5" customHeight="1">
      <c r="A194" s="1268"/>
      <c r="B194" s="1268"/>
      <c r="C194" s="1257"/>
      <c r="D194" s="1261"/>
      <c r="E194" s="12"/>
      <c r="F194" s="53" t="s">
        <v>117</v>
      </c>
      <c r="G194" s="252" t="e">
        <f>(G192/VLOOKUP($C192,#REF!,4,0))*100</f>
        <v>#REF!</v>
      </c>
      <c r="H194" s="252" t="e">
        <f>(H192/VLOOKUP($C192,#REF!,4,0))*100</f>
        <v>#REF!</v>
      </c>
      <c r="I194" s="1186"/>
      <c r="J194" s="252" t="e">
        <f>(J192/VLOOKUP($C192,#REF!,4,0))*100</f>
        <v>#REF!</v>
      </c>
      <c r="K194" s="1186"/>
      <c r="L194" s="252"/>
      <c r="M194" s="995"/>
      <c r="N194" s="12"/>
      <c r="O194" s="53" t="s">
        <v>117</v>
      </c>
      <c r="P194" s="552" t="e">
        <f>Q194+U194+W194</f>
        <v>#REF!</v>
      </c>
      <c r="Q194" s="252" t="e">
        <f>(Q192/VLOOKUP($C192,#REF!,4,0))*100</f>
        <v>#REF!</v>
      </c>
      <c r="R194" s="1186"/>
      <c r="S194" s="12"/>
      <c r="T194" s="53" t="s">
        <v>117</v>
      </c>
      <c r="U194" s="252"/>
      <c r="V194" s="970"/>
      <c r="W194" s="552"/>
      <c r="X194" s="970"/>
      <c r="Y194" s="969"/>
      <c r="AA194" s="989"/>
      <c r="AD194" s="33" t="str">
        <f t="shared" ref="AD194" si="41">C192&amp;F194</f>
        <v>Zambia% GDP</v>
      </c>
    </row>
    <row r="195" spans="1:30" ht="21.65" customHeight="1">
      <c r="C195" s="35" t="s">
        <v>108</v>
      </c>
    </row>
    <row r="196" spans="1:30" ht="44.5" customHeight="1">
      <c r="C196" s="1245" t="s">
        <v>1459</v>
      </c>
      <c r="D196" s="1245"/>
      <c r="E196" s="1245"/>
      <c r="F196" s="1245"/>
      <c r="G196" s="1245"/>
      <c r="H196" s="1245"/>
      <c r="I196" s="1245"/>
      <c r="J196" s="1245"/>
      <c r="K196" s="1245"/>
      <c r="L196" s="1245"/>
      <c r="M196" s="1245"/>
      <c r="N196" s="1245"/>
      <c r="O196" s="1245"/>
      <c r="P196" s="1245"/>
      <c r="Q196" s="1245"/>
      <c r="R196" s="1245"/>
      <c r="S196" s="1245"/>
      <c r="T196" s="1245"/>
      <c r="U196" s="1245"/>
      <c r="V196" s="1245"/>
      <c r="W196" s="1245"/>
      <c r="X196" s="1245"/>
    </row>
    <row r="197" spans="1:30" ht="23.5" customHeight="1">
      <c r="C197" s="35" t="s">
        <v>1219</v>
      </c>
    </row>
    <row r="198" spans="1:30" ht="15.65" customHeight="1">
      <c r="C198" s="1002"/>
    </row>
  </sheetData>
  <autoFilter ref="A5:F197" xr:uid="{70D8D969-D19A-4A37-9D57-5E4D8D57F6B2}"/>
  <mergeCells count="592">
    <mergeCell ref="C3:X3"/>
    <mergeCell ref="H4:M4"/>
    <mergeCell ref="Q4:R4"/>
    <mergeCell ref="T4:X4"/>
    <mergeCell ref="A6:A8"/>
    <mergeCell ref="B6:B8"/>
    <mergeCell ref="C6:C8"/>
    <mergeCell ref="D6:D8"/>
    <mergeCell ref="I6:I8"/>
    <mergeCell ref="K6:K8"/>
    <mergeCell ref="M6:M8"/>
    <mergeCell ref="R6:R8"/>
    <mergeCell ref="V6:V8"/>
    <mergeCell ref="Y6:Y8"/>
    <mergeCell ref="AA6:AA8"/>
    <mergeCell ref="A9:A11"/>
    <mergeCell ref="B9:B11"/>
    <mergeCell ref="C9:C11"/>
    <mergeCell ref="D9:D11"/>
    <mergeCell ref="I9:I11"/>
    <mergeCell ref="K9:K11"/>
    <mergeCell ref="M9:M11"/>
    <mergeCell ref="R9:R11"/>
    <mergeCell ref="V9:V11"/>
    <mergeCell ref="R15:R17"/>
    <mergeCell ref="V15:V17"/>
    <mergeCell ref="AB9:AB11"/>
    <mergeCell ref="A12:A14"/>
    <mergeCell ref="B12:B14"/>
    <mergeCell ref="C12:C14"/>
    <mergeCell ref="D12:D14"/>
    <mergeCell ref="I12:I14"/>
    <mergeCell ref="K12:K14"/>
    <mergeCell ref="R12:R14"/>
    <mergeCell ref="V12:V14"/>
    <mergeCell ref="Y12:Y14"/>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8:R20"/>
    <mergeCell ref="V18:V20"/>
    <mergeCell ref="Y18:Y20"/>
    <mergeCell ref="AA18:AA20"/>
    <mergeCell ref="A21:A23"/>
    <mergeCell ref="B21:B23"/>
    <mergeCell ref="C21:C23"/>
    <mergeCell ref="D21:D23"/>
    <mergeCell ref="I21:I23"/>
    <mergeCell ref="K21:K23"/>
    <mergeCell ref="A18:A20"/>
    <mergeCell ref="B18:B20"/>
    <mergeCell ref="C18:C20"/>
    <mergeCell ref="D18:D20"/>
    <mergeCell ref="I18:I20"/>
    <mergeCell ref="K18:K20"/>
    <mergeCell ref="M18:M20"/>
    <mergeCell ref="R24:R26"/>
    <mergeCell ref="V24:V26"/>
    <mergeCell ref="X24:X26"/>
    <mergeCell ref="Y24:Y26"/>
    <mergeCell ref="M21:M23"/>
    <mergeCell ref="R21:R23"/>
    <mergeCell ref="V21:V23"/>
    <mergeCell ref="X21:X23"/>
    <mergeCell ref="Y21:Y23"/>
    <mergeCell ref="M27:M29"/>
    <mergeCell ref="R27:R29"/>
    <mergeCell ref="V27:V29"/>
    <mergeCell ref="X27:X29"/>
    <mergeCell ref="Y27:Y29"/>
    <mergeCell ref="AA27:AA29"/>
    <mergeCell ref="A27:A29"/>
    <mergeCell ref="B27:B29"/>
    <mergeCell ref="C27:C29"/>
    <mergeCell ref="D27:D29"/>
    <mergeCell ref="I27:I29"/>
    <mergeCell ref="K27:K29"/>
    <mergeCell ref="M30:M32"/>
    <mergeCell ref="R30:R32"/>
    <mergeCell ref="V30:V32"/>
    <mergeCell ref="X30:X32"/>
    <mergeCell ref="AA30:AA32"/>
    <mergeCell ref="A33:A35"/>
    <mergeCell ref="B33:B35"/>
    <mergeCell ref="C33:C35"/>
    <mergeCell ref="D33:D35"/>
    <mergeCell ref="I33:I35"/>
    <mergeCell ref="A30:A32"/>
    <mergeCell ref="B30:B32"/>
    <mergeCell ref="C30:C32"/>
    <mergeCell ref="D30:D32"/>
    <mergeCell ref="I30:I32"/>
    <mergeCell ref="K30:K32"/>
    <mergeCell ref="AA33:AA35"/>
    <mergeCell ref="K33:K35"/>
    <mergeCell ref="M33:M35"/>
    <mergeCell ref="R33:R35"/>
    <mergeCell ref="V33:V35"/>
    <mergeCell ref="X33:X35"/>
    <mergeCell ref="Y33:Y35"/>
    <mergeCell ref="Y36:Y38"/>
    <mergeCell ref="A39:A41"/>
    <mergeCell ref="B39:B41"/>
    <mergeCell ref="C39:C41"/>
    <mergeCell ref="D39:D41"/>
    <mergeCell ref="I39:I41"/>
    <mergeCell ref="K39:K41"/>
    <mergeCell ref="M39:M41"/>
    <mergeCell ref="R39:R41"/>
    <mergeCell ref="V39:V41"/>
    <mergeCell ref="X39:X41"/>
    <mergeCell ref="A36:A38"/>
    <mergeCell ref="B36:B38"/>
    <mergeCell ref="C36:C38"/>
    <mergeCell ref="D36:D38"/>
    <mergeCell ref="I36:I38"/>
    <mergeCell ref="K36:K38"/>
    <mergeCell ref="M36:M38"/>
    <mergeCell ref="R36:R38"/>
    <mergeCell ref="V36:V38"/>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X48:X50"/>
    <mergeCell ref="AA48:AA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Y54:Y56"/>
    <mergeCell ref="AA54:AA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A60:A62"/>
    <mergeCell ref="B60:B62"/>
    <mergeCell ref="C60:C62"/>
    <mergeCell ref="D60:D62"/>
    <mergeCell ref="I60:I62"/>
    <mergeCell ref="K60:K62"/>
    <mergeCell ref="M60:M62"/>
    <mergeCell ref="R60:R62"/>
    <mergeCell ref="AA60:AA61"/>
    <mergeCell ref="X63:X65"/>
    <mergeCell ref="A66:A68"/>
    <mergeCell ref="B66:B68"/>
    <mergeCell ref="C66:C68"/>
    <mergeCell ref="D66:D68"/>
    <mergeCell ref="I66:I68"/>
    <mergeCell ref="K66:K68"/>
    <mergeCell ref="M66:M68"/>
    <mergeCell ref="R66:R68"/>
    <mergeCell ref="V66:V68"/>
    <mergeCell ref="X66:X68"/>
    <mergeCell ref="A63:A65"/>
    <mergeCell ref="B63:B65"/>
    <mergeCell ref="C63:C65"/>
    <mergeCell ref="D63:D65"/>
    <mergeCell ref="I63:I65"/>
    <mergeCell ref="K63:K65"/>
    <mergeCell ref="M63:M65"/>
    <mergeCell ref="R63:R65"/>
    <mergeCell ref="V63:V65"/>
    <mergeCell ref="A69:A71"/>
    <mergeCell ref="B69:B71"/>
    <mergeCell ref="C69:C71"/>
    <mergeCell ref="D69:D71"/>
    <mergeCell ref="I69:I71"/>
    <mergeCell ref="K69:K71"/>
    <mergeCell ref="M69:M71"/>
    <mergeCell ref="R69:R71"/>
    <mergeCell ref="V69:V71"/>
    <mergeCell ref="X72:X74"/>
    <mergeCell ref="A75:A77"/>
    <mergeCell ref="B75:B77"/>
    <mergeCell ref="C75:C77"/>
    <mergeCell ref="D75:D77"/>
    <mergeCell ref="I75:I77"/>
    <mergeCell ref="K75:K77"/>
    <mergeCell ref="M75:M77"/>
    <mergeCell ref="R75:R77"/>
    <mergeCell ref="V75:V77"/>
    <mergeCell ref="A72:A74"/>
    <mergeCell ref="B72:B74"/>
    <mergeCell ref="C72:C74"/>
    <mergeCell ref="D72:D74"/>
    <mergeCell ref="I72:I74"/>
    <mergeCell ref="K72:K74"/>
    <mergeCell ref="M72:M74"/>
    <mergeCell ref="R72:R74"/>
    <mergeCell ref="V72:V74"/>
    <mergeCell ref="Y75:Y77"/>
    <mergeCell ref="A78:A80"/>
    <mergeCell ref="B78:B80"/>
    <mergeCell ref="C78:C80"/>
    <mergeCell ref="D78:D80"/>
    <mergeCell ref="I78:I80"/>
    <mergeCell ref="K78:K80"/>
    <mergeCell ref="M78:M80"/>
    <mergeCell ref="R78:R80"/>
    <mergeCell ref="V78:V80"/>
    <mergeCell ref="X78:X80"/>
    <mergeCell ref="Y78:Y79"/>
    <mergeCell ref="Y81:Y83"/>
    <mergeCell ref="AA81:AA83"/>
    <mergeCell ref="A84:A86"/>
    <mergeCell ref="B84:B86"/>
    <mergeCell ref="C84:C86"/>
    <mergeCell ref="D84:D86"/>
    <mergeCell ref="I84:I86"/>
    <mergeCell ref="K84:K86"/>
    <mergeCell ref="R84:R86"/>
    <mergeCell ref="V84:V86"/>
    <mergeCell ref="X84:X86"/>
    <mergeCell ref="A81:A83"/>
    <mergeCell ref="B81:B83"/>
    <mergeCell ref="C81:C83"/>
    <mergeCell ref="D81:D83"/>
    <mergeCell ref="I81:I83"/>
    <mergeCell ref="K81:K83"/>
    <mergeCell ref="M81:M83"/>
    <mergeCell ref="R81:R83"/>
    <mergeCell ref="V81:V83"/>
    <mergeCell ref="Y87:Y89"/>
    <mergeCell ref="AA87:AA89"/>
    <mergeCell ref="A90:A92"/>
    <mergeCell ref="B90:B92"/>
    <mergeCell ref="C90:C92"/>
    <mergeCell ref="D90:D92"/>
    <mergeCell ref="I90:I92"/>
    <mergeCell ref="K90:K92"/>
    <mergeCell ref="R90:R92"/>
    <mergeCell ref="V90:V92"/>
    <mergeCell ref="A87:A89"/>
    <mergeCell ref="B87:B89"/>
    <mergeCell ref="C87:C89"/>
    <mergeCell ref="D87:D89"/>
    <mergeCell ref="I87:I89"/>
    <mergeCell ref="K87:K89"/>
    <mergeCell ref="M87:M89"/>
    <mergeCell ref="R87:R89"/>
    <mergeCell ref="V87:V89"/>
    <mergeCell ref="A93:A95"/>
    <mergeCell ref="B93:B95"/>
    <mergeCell ref="C93:C95"/>
    <mergeCell ref="D93:D95"/>
    <mergeCell ref="I93:I95"/>
    <mergeCell ref="K93:K95"/>
    <mergeCell ref="M93:M95"/>
    <mergeCell ref="R93:R95"/>
    <mergeCell ref="V93:V95"/>
    <mergeCell ref="A96:A98"/>
    <mergeCell ref="B96:B98"/>
    <mergeCell ref="C96:C98"/>
    <mergeCell ref="D96:D98"/>
    <mergeCell ref="I96:I98"/>
    <mergeCell ref="K96:K98"/>
    <mergeCell ref="M96:M98"/>
    <mergeCell ref="R96:R98"/>
    <mergeCell ref="V96:V98"/>
    <mergeCell ref="M99:M101"/>
    <mergeCell ref="V99:V101"/>
    <mergeCell ref="A102:A104"/>
    <mergeCell ref="B102:B104"/>
    <mergeCell ref="C102:C104"/>
    <mergeCell ref="D102:D104"/>
    <mergeCell ref="I102:I104"/>
    <mergeCell ref="K102:K104"/>
    <mergeCell ref="M102:M104"/>
    <mergeCell ref="R102:R104"/>
    <mergeCell ref="A99:A101"/>
    <mergeCell ref="B99:B101"/>
    <mergeCell ref="C99:C101"/>
    <mergeCell ref="D99:D101"/>
    <mergeCell ref="I99:I101"/>
    <mergeCell ref="K99:K101"/>
    <mergeCell ref="V102:V104"/>
    <mergeCell ref="X102:X104"/>
    <mergeCell ref="Y102:Y104"/>
    <mergeCell ref="A105:A107"/>
    <mergeCell ref="B105:B107"/>
    <mergeCell ref="C105:C107"/>
    <mergeCell ref="D105:D107"/>
    <mergeCell ref="I105:I107"/>
    <mergeCell ref="K105:K107"/>
    <mergeCell ref="M105:M107"/>
    <mergeCell ref="R105:R107"/>
    <mergeCell ref="V105:V107"/>
    <mergeCell ref="X105:X107"/>
    <mergeCell ref="Y105:Y107"/>
    <mergeCell ref="M111:M113"/>
    <mergeCell ref="R111:R113"/>
    <mergeCell ref="V111:V113"/>
    <mergeCell ref="AA105:AA107"/>
    <mergeCell ref="A108:A110"/>
    <mergeCell ref="B108:B110"/>
    <mergeCell ref="C108:C110"/>
    <mergeCell ref="D108:D110"/>
    <mergeCell ref="I108:I110"/>
    <mergeCell ref="K108:K110"/>
    <mergeCell ref="M108:M110"/>
    <mergeCell ref="R108:R110"/>
    <mergeCell ref="V108:V110"/>
    <mergeCell ref="A120:A122"/>
    <mergeCell ref="B120:B122"/>
    <mergeCell ref="C120:C122"/>
    <mergeCell ref="D120:D122"/>
    <mergeCell ref="I120:I122"/>
    <mergeCell ref="K120:K122"/>
    <mergeCell ref="A111:A113"/>
    <mergeCell ref="B111:B113"/>
    <mergeCell ref="C111:C113"/>
    <mergeCell ref="D111:D113"/>
    <mergeCell ref="I111:I113"/>
    <mergeCell ref="K111:K113"/>
    <mergeCell ref="R114:R116"/>
    <mergeCell ref="V114:V116"/>
    <mergeCell ref="A117:A119"/>
    <mergeCell ref="B117:B119"/>
    <mergeCell ref="C117:C119"/>
    <mergeCell ref="D117:D119"/>
    <mergeCell ref="I117:I119"/>
    <mergeCell ref="K117:K119"/>
    <mergeCell ref="M117:M119"/>
    <mergeCell ref="R117:R119"/>
    <mergeCell ref="A114:A116"/>
    <mergeCell ref="B114:B116"/>
    <mergeCell ref="C114:C116"/>
    <mergeCell ref="D114:D116"/>
    <mergeCell ref="I114:I116"/>
    <mergeCell ref="K114:K116"/>
    <mergeCell ref="M114:M116"/>
    <mergeCell ref="X120:X122"/>
    <mergeCell ref="C123:C125"/>
    <mergeCell ref="D123:D125"/>
    <mergeCell ref="I123:I125"/>
    <mergeCell ref="K123:K125"/>
    <mergeCell ref="M123:M125"/>
    <mergeCell ref="V123:V125"/>
    <mergeCell ref="V117:V119"/>
    <mergeCell ref="X117:X119"/>
    <mergeCell ref="R120:R122"/>
    <mergeCell ref="V120:V122"/>
    <mergeCell ref="M126:M128"/>
    <mergeCell ref="V126:V128"/>
    <mergeCell ref="X126:X128"/>
    <mergeCell ref="A129:A131"/>
    <mergeCell ref="B129:B131"/>
    <mergeCell ref="C129:C131"/>
    <mergeCell ref="D129:D131"/>
    <mergeCell ref="I129:I131"/>
    <mergeCell ref="K129:K131"/>
    <mergeCell ref="M129:M131"/>
    <mergeCell ref="A126:A128"/>
    <mergeCell ref="B126:B128"/>
    <mergeCell ref="C126:C128"/>
    <mergeCell ref="D126:D128"/>
    <mergeCell ref="I126:I128"/>
    <mergeCell ref="K126:K128"/>
    <mergeCell ref="V129:V131"/>
    <mergeCell ref="X129:X131"/>
    <mergeCell ref="A132:A134"/>
    <mergeCell ref="B132:B134"/>
    <mergeCell ref="C132:C134"/>
    <mergeCell ref="D132:D134"/>
    <mergeCell ref="I132:I134"/>
    <mergeCell ref="K132:K134"/>
    <mergeCell ref="R132:R134"/>
    <mergeCell ref="V132:V134"/>
    <mergeCell ref="X132:X134"/>
    <mergeCell ref="X135:X137"/>
    <mergeCell ref="A138:A140"/>
    <mergeCell ref="B138:B140"/>
    <mergeCell ref="C138:C140"/>
    <mergeCell ref="D138:D140"/>
    <mergeCell ref="I138:I140"/>
    <mergeCell ref="K138:K140"/>
    <mergeCell ref="M138:M140"/>
    <mergeCell ref="R138:R140"/>
    <mergeCell ref="V138:V140"/>
    <mergeCell ref="A135:A137"/>
    <mergeCell ref="B135:B137"/>
    <mergeCell ref="C135:C137"/>
    <mergeCell ref="D135:D137"/>
    <mergeCell ref="I135:I137"/>
    <mergeCell ref="K135:K137"/>
    <mergeCell ref="M135:M137"/>
    <mergeCell ref="R135:R137"/>
    <mergeCell ref="V135:V137"/>
    <mergeCell ref="X141:X143"/>
    <mergeCell ref="A144:A146"/>
    <mergeCell ref="B144:B146"/>
    <mergeCell ref="C144:C146"/>
    <mergeCell ref="D144:D146"/>
    <mergeCell ref="I144:I146"/>
    <mergeCell ref="K144:K146"/>
    <mergeCell ref="M144:M146"/>
    <mergeCell ref="R144:R146"/>
    <mergeCell ref="V144:V146"/>
    <mergeCell ref="C141:C143"/>
    <mergeCell ref="D141:D143"/>
    <mergeCell ref="I141:I143"/>
    <mergeCell ref="K141:K143"/>
    <mergeCell ref="M141:M143"/>
    <mergeCell ref="V141:V143"/>
    <mergeCell ref="X144:X146"/>
    <mergeCell ref="Y147:Y149"/>
    <mergeCell ref="A150:A152"/>
    <mergeCell ref="B150:B152"/>
    <mergeCell ref="C150:C152"/>
    <mergeCell ref="D150:D152"/>
    <mergeCell ref="I150:I152"/>
    <mergeCell ref="K150:K152"/>
    <mergeCell ref="R150:R152"/>
    <mergeCell ref="V150:V152"/>
    <mergeCell ref="X150:X152"/>
    <mergeCell ref="A147:A149"/>
    <mergeCell ref="B147:B149"/>
    <mergeCell ref="C147:C149"/>
    <mergeCell ref="D147:D149"/>
    <mergeCell ref="I147:I149"/>
    <mergeCell ref="K147:K149"/>
    <mergeCell ref="M147:M149"/>
    <mergeCell ref="R147:R149"/>
    <mergeCell ref="V147:V149"/>
    <mergeCell ref="R153:R155"/>
    <mergeCell ref="A156:A158"/>
    <mergeCell ref="B156:B158"/>
    <mergeCell ref="C156:C158"/>
    <mergeCell ref="D156:D158"/>
    <mergeCell ref="I156:I158"/>
    <mergeCell ref="K156:K158"/>
    <mergeCell ref="R156:R158"/>
    <mergeCell ref="A153:A155"/>
    <mergeCell ref="B153:B155"/>
    <mergeCell ref="C153:C155"/>
    <mergeCell ref="D153:D155"/>
    <mergeCell ref="I153:I155"/>
    <mergeCell ref="K153:K155"/>
    <mergeCell ref="M159:M161"/>
    <mergeCell ref="R159:R161"/>
    <mergeCell ref="A162:A164"/>
    <mergeCell ref="B162:B164"/>
    <mergeCell ref="C162:C164"/>
    <mergeCell ref="D162:D164"/>
    <mergeCell ref="I162:I164"/>
    <mergeCell ref="K162:K164"/>
    <mergeCell ref="R162:R164"/>
    <mergeCell ref="A159:A161"/>
    <mergeCell ref="B159:B161"/>
    <mergeCell ref="C159:C161"/>
    <mergeCell ref="D159:D161"/>
    <mergeCell ref="I159:I161"/>
    <mergeCell ref="K159:K161"/>
    <mergeCell ref="M165:M167"/>
    <mergeCell ref="V165:V167"/>
    <mergeCell ref="X165:X167"/>
    <mergeCell ref="A168:A170"/>
    <mergeCell ref="B168:B170"/>
    <mergeCell ref="C168:C170"/>
    <mergeCell ref="D168:D170"/>
    <mergeCell ref="I168:I170"/>
    <mergeCell ref="K168:K170"/>
    <mergeCell ref="M168:M170"/>
    <mergeCell ref="A165:A167"/>
    <mergeCell ref="B165:B167"/>
    <mergeCell ref="C165:C167"/>
    <mergeCell ref="D165:D167"/>
    <mergeCell ref="I165:I167"/>
    <mergeCell ref="K165:K167"/>
    <mergeCell ref="R171:R173"/>
    <mergeCell ref="A174:A176"/>
    <mergeCell ref="B174:B176"/>
    <mergeCell ref="C174:C176"/>
    <mergeCell ref="D174:D176"/>
    <mergeCell ref="I174:I176"/>
    <mergeCell ref="K174:K176"/>
    <mergeCell ref="R174:R176"/>
    <mergeCell ref="A171:A173"/>
    <mergeCell ref="B171:B173"/>
    <mergeCell ref="C171:C173"/>
    <mergeCell ref="D171:D173"/>
    <mergeCell ref="I171:I173"/>
    <mergeCell ref="K171:K173"/>
    <mergeCell ref="R177:R179"/>
    <mergeCell ref="V177:V179"/>
    <mergeCell ref="A180:A182"/>
    <mergeCell ref="B180:B182"/>
    <mergeCell ref="C180:C182"/>
    <mergeCell ref="D180:D182"/>
    <mergeCell ref="I180:I182"/>
    <mergeCell ref="K180:K182"/>
    <mergeCell ref="A177:A179"/>
    <mergeCell ref="B177:B179"/>
    <mergeCell ref="C177:C179"/>
    <mergeCell ref="D177:D179"/>
    <mergeCell ref="I177:I179"/>
    <mergeCell ref="K177:K179"/>
    <mergeCell ref="M183:M185"/>
    <mergeCell ref="R183:R185"/>
    <mergeCell ref="V183:V185"/>
    <mergeCell ref="A186:A188"/>
    <mergeCell ref="B186:B188"/>
    <mergeCell ref="C186:C188"/>
    <mergeCell ref="D186:D188"/>
    <mergeCell ref="I186:I188"/>
    <mergeCell ref="K186:K188"/>
    <mergeCell ref="R186:R188"/>
    <mergeCell ref="A183:A185"/>
    <mergeCell ref="B183:B185"/>
    <mergeCell ref="C183:C185"/>
    <mergeCell ref="D183:D185"/>
    <mergeCell ref="I183:I185"/>
    <mergeCell ref="K183:K185"/>
    <mergeCell ref="R192:R194"/>
    <mergeCell ref="C196:X196"/>
    <mergeCell ref="M189:M191"/>
    <mergeCell ref="R189:R191"/>
    <mergeCell ref="X189:X191"/>
    <mergeCell ref="Y189:Y191"/>
    <mergeCell ref="A192:A194"/>
    <mergeCell ref="B192:B194"/>
    <mergeCell ref="C192:C194"/>
    <mergeCell ref="D192:D194"/>
    <mergeCell ref="I192:I194"/>
    <mergeCell ref="K192:K194"/>
    <mergeCell ref="A189:A191"/>
    <mergeCell ref="B189:B191"/>
    <mergeCell ref="C189:C191"/>
    <mergeCell ref="D189:D191"/>
    <mergeCell ref="I189:I191"/>
    <mergeCell ref="K189:K191"/>
  </mergeCells>
  <hyperlinks>
    <hyperlink ref="AA48" r:id="rId1" xr:uid="{A31F2EE5-C8A5-4393-8C6A-7226E2CBC608}"/>
    <hyperlink ref="AA60" r:id="rId2" xr:uid="{571BA647-A523-4A0C-9DB5-04684889ED7F}"/>
    <hyperlink ref="AA9" r:id="rId3" xr:uid="{A14CDEDC-35DC-4516-9465-F93600608F41}"/>
    <hyperlink ref="AA15" r:id="rId4" xr:uid="{5CDA1200-8B7C-4C66-BF8D-AFD7E4497971}"/>
    <hyperlink ref="AA21" r:id="rId5" xr:uid="{7B7A7433-0B1F-4E3F-8170-CCD58BB5857A}"/>
    <hyperlink ref="AA18" r:id="rId6" xr:uid="{9FB8D401-A159-451D-83DA-8D4449452CBF}"/>
    <hyperlink ref="AA27" r:id="rId7" xr:uid="{B14EF026-7A15-4F9B-B841-6885400A79E8}"/>
    <hyperlink ref="AA33" r:id="rId8" xr:uid="{2554E92A-43CB-44D0-94E1-71479E54622F}"/>
    <hyperlink ref="AA78" r:id="rId9" display="https://fm.dk/nyheder/nyhedsarkiv/2020/april/regeringen-og-alle-folketingets-partier-er-enige-om-at-justere-og-udvide-hjaelpepakker-til-dansk-oekonomi/" xr:uid="{3708B308-8EA4-44FE-AFDB-A3266F75E91B}"/>
    <hyperlink ref="AA81" r:id="rId10" xr:uid="{C742A480-D24E-49FD-8987-BA057DA55B80}"/>
    <hyperlink ref="AA87" r:id="rId11" xr:uid="{F5ADE9BE-E3DB-4898-B2B8-9F3EA2F38516}"/>
    <hyperlink ref="AA30" r:id="rId12" display="http://www.governo.it/it/articolo/comunicato-stampa-del-consiglio-dei-ministri-n-39/14417" xr:uid="{B66111B2-E887-4E06-B101-7919FD61F793}"/>
    <hyperlink ref="AA105" r:id="rId13" xr:uid="{53F08750-9268-409D-B705-14F60C598B76}"/>
    <hyperlink ref="AA150" r:id="rId14" xr:uid="{461FD56E-EEC4-4E7B-90BE-B58FA814AB11}"/>
    <hyperlink ref="AA151" r:id="rId15" xr:uid="{E05F063C-670D-498D-BE62-3C78B9A446EE}"/>
    <hyperlink ref="AB6" r:id="rId16" display="https://treasury.gov.au/coronavirus" xr:uid="{EBB43200-84C3-4B70-A546-4A3E74A54C9F}"/>
    <hyperlink ref="AA6" r:id="rId17" xr:uid="{82FFC0DB-EF71-48B1-A964-0C2A14B5964A}"/>
    <hyperlink ref="AA22" r:id="rId18" display="http://www.mef.gov.it/en/inevidenza/Protect-health-support-the-economy-preserve-employment-levels-and-incomes-00001/" xr:uid="{274B68C8-EA50-46AE-88B3-96FE81D181FF}"/>
    <hyperlink ref="AA135" r:id="rId19" display="https://urldefense.proofpoint.com/v2/url?u=https-3A__www.gov.pl_web_tarczaantykryzysowa&amp;d=DwMFBA&amp;c=G8CoXqdZ57E1EOn2t2CVrg&amp;r=1dNmfCwUPm-Zyfp8PIjgpWCvO5QO5p2LM0QGFAzgPvI&amp;m=nz2rsJenFWhU9KRBhOJ8maK12Et9Tar9PrzSGpsIzBw&amp;s=CAY3fc6DLo3KDD4wEX63BZhcse8VIq2LHFGPVw4INzI&amp;e=" xr:uid="{8DF697C3-DCC8-4188-8ECF-CE832A1057C3}"/>
    <hyperlink ref="AA77" r:id="rId20" display="https://fm.dk/nyheder/nyhedsarkiv/2020/marts/regeringen-og-arbejdsmarkedets-parter-styrker-trepartsaftalen-om-midlertidig-loenkompensation/" xr:uid="{30102518-006C-4E7A-8694-E2709E40DEE3}"/>
    <hyperlink ref="AA75" r:id="rId21" xr:uid="{DC75A91B-3609-4621-A1A3-11294B014794}"/>
    <hyperlink ref="AA76" r:id="rId22" display="https://fm.dk/nyheder/nyhedsarkiv/2020/marts/regeringen-og-alle-folketingets-partier-er-enige-om-omfattende-hjaelpepakke-til-dansk-oekonomi/" xr:uid="{787C5338-894F-49FC-BEB7-5468A7E3728B}"/>
    <hyperlink ref="AA54" r:id="rId23" display="http://www5.diputados.gob.mx/index.php/esl/Comunicacion/Boletines/2020/Marzo/18/3509-Aprueban-crear-el-Fondo-para-la-Prevencion-y-Atencion-de-Emergencias_x000a__x000a_" xr:uid="{2CDE2718-8C5A-4418-A9ED-85E51A8ACB4F}"/>
    <hyperlink ref="AA140" r:id="rId24" display="https://gulfnews.com/uae/revealed-15-point-economic-stimulus-package-in-abu-dhabi-1.1584340605165" xr:uid="{2AFF7A95-5B5C-461A-9CF4-F45D53C0F4D2}"/>
    <hyperlink ref="AA127" r:id="rId25" display="https://urldefense.proofpoint.com/v2/url?u=https-3A__www.gov.pl_web_tarczaantykryzysowa&amp;d=DwMFBA&amp;c=G8CoXqdZ57E1EOn2t2CVrg&amp;r=1dNmfCwUPm-Zyfp8PIjgpWCvO5QO5p2LM0QGFAzgPvI&amp;m=nz2rsJenFWhU9KRBhOJ8maK12Et9Tar9PrzSGpsIzBw&amp;s=CAY3fc6DLo3KDD4wEX63BZhcse8VIq2LHFGPVw4INzI&amp;e=" xr:uid="{5CFBA9A3-FCF3-45DB-998C-04ED4B2E7F75}"/>
    <hyperlink ref="AA49" r:id="rId26" display="https://pib.gov.in/PressReleseDetail.aspx?PRID=1607911" xr:uid="{F16F604D-02A1-469D-B826-072830742DBF}"/>
    <hyperlink ref="AA61" r:id="rId27" display="https://www.mof.gov.sa/en/MediaCenter/news/Pages/News_20032020.aspx" xr:uid="{5DE991A4-ACAA-43B3-B471-1AE43FF0FDB5}"/>
    <hyperlink ref="AA10" r:id="rId28" display="https://www.canada.ca/en/public-health/services/diseases/coronavirus-disease-covid-19.html" xr:uid="{4A41B9E0-BCAA-490E-A99F-FE12F158CF6F}"/>
    <hyperlink ref="AA16" r:id="rId29" display="https://www.economie.gouv.fr/coronavirus-soutien-entreprises#" xr:uid="{809E1C44-1707-4AEC-8E6C-AE64A9F3E698}"/>
    <hyperlink ref="AA19" r:id="rId30" display="https://www.bundesregierung.de/breg-de/themen/coronavirus" xr:uid="{8CC37A54-D20A-481E-8C16-043370C192B6}"/>
    <hyperlink ref="AA28" r:id="rId31" display="https://english.moef.go.kr/pc/selectTbPressCenterDtl.do?boardCd=N0001&amp;seq=4860" xr:uid="{32F5D228-D65D-4F83-AF78-F6B206F444D8}"/>
    <hyperlink ref="AA34" r:id="rId32" display="https://www.gov.uk/government/publications/guidance-to-employers-and-businesses-about-covid-19/covid-19-support-for-businesses" xr:uid="{4373E518-7B8E-46D7-A9E7-BA3CBCF9DC8B}"/>
    <hyperlink ref="AA79" r:id="rId33" display="https://valtioneuvosto.fi/artikkeli/-/asset_publisher/10616/hallitus-antoi-eduskunnalle-lisatalousarvioesityksen-koronaviruksen-vuoksi" xr:uid="{B19F31FE-C9C7-45BD-836F-84BEEED1800B}"/>
    <hyperlink ref="AA82" r:id="rId34" display="https://www.rijksoverheid.nl/actueel/nieuws/2020/03/17/coronavirus-kabinet-neemt-pakket-nieuwe-maatregelen-voor-banen-en-economie" xr:uid="{CEEF8067-2D63-4F80-ADEE-154F179A291F}"/>
    <hyperlink ref="AA88" r:id="rId35" display="https://www.regjeringen.no/en/aktuelt/economic-measures-in-norway-in-response-to-covid-19/id2694274/" xr:uid="{1399801C-639E-4EB2-86E2-4CFD47B3EC88}"/>
    <hyperlink ref="AA31" r:id="rId36" display="https://www.lamoncloa.gob.es/consejodeministros/resumenes/Paginas/2020/170320-pg-consejo.aspx" xr:uid="{56330C9F-6A6C-41F8-9BD2-474E4CFC37E7}"/>
    <hyperlink ref="AA106" r:id="rId37" display="https://prensa.presidencia.cl/comunicado.aspx?id=148684" xr:uid="{294834C3-8EEA-47E7-A553-E63485B5B098}"/>
    <hyperlink ref="AA141" r:id="rId38" display="https://gulfnews.com/uae/revealed-15-point-economic-stimulus-package-in-abu-dhabi-1.1584340605165" xr:uid="{4BEF4BD8-E786-48E2-9026-7C1ED4EE0A86}"/>
    <hyperlink ref="AB7" r:id="rId39" display="https://treasury.gov.au/coronavirus" xr:uid="{42A59C1B-CD41-4981-BAB4-A4B36B32721E}"/>
    <hyperlink ref="AA7" r:id="rId40" display="https://treasury.gov.au/coronavirus" xr:uid="{60749E91-04AD-463F-8BE7-4F17E5E2DBB7}"/>
    <hyperlink ref="AA23" r:id="rId41" display="https://www.economie.gouv.fr/coronavirus-soutien-entreprises#" xr:uid="{5986EAC3-2EC5-4559-ABBE-6E5DE1F2775C}"/>
    <hyperlink ref="AA128" r:id="rId42" display="https://urldefense.proofpoint.com/v2/url?u=https-3A__www.gov.pl_web_tarczaantykryzysowa&amp;d=DwMFBA&amp;c=G8CoXqdZ57E1EOn2t2CVrg&amp;r=1dNmfCwUPm-Zyfp8PIjgpWCvO5QO5p2LM0QGFAzgPvI&amp;m=nz2rsJenFWhU9KRBhOJ8maK12Et9Tar9PrzSGpsIzBw&amp;s=CAY3fc6DLo3KDD4wEX63BZhcse8VIq2LHFGPVw4INzI&amp;e=" xr:uid="{C95BA120-CB8A-4B7D-8A8F-D93843C325AB}"/>
    <hyperlink ref="AA55" r:id="rId43" display="http://www5.diputados.gob.mx/index.php/esl/Comunicacion/Boletines/2020/Marzo/18/3509-Aprueban-crear-el-Fondo-para-la-Prevencion-y-Atencion-de-Emergencias_x000a__x000a_" xr:uid="{57F43158-6ED6-4070-8D4A-E88F42618FA7}"/>
    <hyperlink ref="AA56" r:id="rId44" display="https://pib.gov.in/PressReleseDetail.aspx?PRID=1607911" xr:uid="{5504BE67-8224-4661-A498-6101893CF81C}"/>
    <hyperlink ref="AA68" r:id="rId45" display="https://www.mof.gov.sa/en/MediaCenter/news/Pages/News_20032020.aspx" xr:uid="{10365945-DCF3-49B7-84FA-09C0083DEF8F}"/>
    <hyperlink ref="AA17" r:id="rId46" display="https://www.canada.ca/en/public-health/services/diseases/coronavirus-disease-covid-19.html" xr:uid="{D0456B87-D71F-4362-BD6C-ACD31DF335A0}"/>
    <hyperlink ref="AA29" r:id="rId47" display="http://www.mef.gov.it/en/inevidenza/Protect-health-support-the-economy-preserve-employment-levels-and-incomes-00001/" xr:uid="{4252164E-A7E6-43D2-BBDB-4CE159BD2742}"/>
    <hyperlink ref="AA26" r:id="rId48" display="https://www.bundesregierung.de/breg-de/themen/coronavirus" xr:uid="{19AE1EF9-D5FE-4581-A5E9-61CE76A56B6B}"/>
    <hyperlink ref="AA35" r:id="rId49" display="https://english.moef.go.kr/pc/selectTbPressCenterDtl.do?boardCd=N0001&amp;seq=4860" xr:uid="{86064A10-E2A4-435E-A4E1-4B1B040B1D23}"/>
    <hyperlink ref="AA41" r:id="rId50" display="https://www.gov.uk/government/publications/guidance-to-employers-and-businesses-about-covid-19/covid-19-support-for-businesses" xr:uid="{0C7A75F4-01BF-4575-92DA-03F591715AC9}"/>
    <hyperlink ref="AA86" r:id="rId51" display="https://valtioneuvosto.fi/artikkeli/-/asset_publisher/10616/hallitus-antoi-eduskunnalle-lisatalousarvioesityksen-koronaviruksen-vuoksi" xr:uid="{6B57779F-494E-43E5-AA15-020A190AF6FF}"/>
    <hyperlink ref="AA89" r:id="rId52" display="https://www.rijksoverheid.nl/actueel/nieuws/2020/03/17/coronavirus-kabinet-neemt-pakket-nieuwe-maatregelen-voor-banen-en-economie" xr:uid="{3A218BE6-4ED1-470F-B79A-DE1F081073EB}"/>
    <hyperlink ref="AA95" r:id="rId53" display="https://www.regjeringen.no/en/aktuelt/economic-measures-in-norway-in-response-to-covid-19/id2694274/" xr:uid="{A58E0523-252A-4614-A5EE-35A8AFB3AA94}"/>
    <hyperlink ref="AA38" r:id="rId54" display="https://www.lamoncloa.gob.es/consejodeministros/resumenes/Paginas/2020/170320-pg-consejo.aspx" xr:uid="{5E868B55-013D-40A5-A3ED-C02B89623B70}"/>
    <hyperlink ref="AA113" r:id="rId55" display="https://prensa.presidencia.cl/comunicado.aspx?id=148684" xr:uid="{CA86E326-07D1-4FDD-BD4D-EF088164A8ED}"/>
    <hyperlink ref="AA148" r:id="rId56" display="https://gulfnews.com/uae/revealed-15-point-economic-stimulus-package-in-abu-dhabi-1.1584340605165" xr:uid="{CEA9A1BF-E8FC-43C6-93C8-AA5E2546C5E1}"/>
    <hyperlink ref="AB14" r:id="rId57" display="https://treasury.gov.au/coronavirus" xr:uid="{0CF76D6C-14F8-4CC6-BB2C-7CB9057253BA}"/>
    <hyperlink ref="AA14" r:id="rId58" display="https://treasury.gov.au/coronavirus" xr:uid="{4286B0D0-80D6-46D5-AE8D-B28A4B80F217}"/>
    <hyperlink ref="AA85" r:id="rId59" display="https://fm.dk/nyheder/nyhedsarkiv/2020/april/regeringen-og-alle-folketingets-partier-er-enige-om-at-justere-og-udvide-hjaelpepakker-til-dansk-oekonomi/" xr:uid="{6491CF8F-C724-4501-9864-0EAD649D4621}"/>
    <hyperlink ref="AA83" r:id="rId60" display="https://fm.dk/nyheder/nyhedsarkiv/2020/marts/regeringen-og-alle-folketingets-partier-er-enige-om-omfattende-hjaelpepakke-til-dansk-oekonomi/" xr:uid="{48924049-AED9-4FE3-918B-281880C4FF28}"/>
    <hyperlink ref="AA84" r:id="rId61" display="https://fm.dk/nyheder/nyhedsarkiv/2020/marts/regeringen-og-arbejdsmarkedets-parter-styrker-trepartsaftalen-om-midlertidig-loenkompensation/" xr:uid="{4DFDC483-233B-4362-8495-6D429EE60CEB}"/>
    <hyperlink ref="AA62" r:id="rId62" display="http://www5.diputados.gob.mx/index.php/esl/Comunicacion/Boletines/2020/Marzo/18/3509-Aprueban-crear-el-Fondo-para-la-Prevencion-y-Atencion-de-Emergencias_x000a__x000a_" xr:uid="{3148CA64-21AE-4ABB-82E2-79EFA96D5DFC}"/>
  </hyperlinks>
  <pageMargins left="0.7" right="0.7" top="0.75" bottom="0.75" header="0.3" footer="0.3"/>
  <pageSetup scale="38" fitToHeight="0" orientation="landscape" r:id="rId63"/>
  <rowBreaks count="19" manualBreakCount="19">
    <brk id="11" max="16383" man="1"/>
    <brk id="23" max="16383" man="1"/>
    <brk id="29" max="16383" man="1"/>
    <brk id="35" max="16383" man="1"/>
    <brk id="41" max="16383" man="1"/>
    <brk id="47" max="16383" man="1"/>
    <brk id="56" max="16383" man="1"/>
    <brk id="62" max="16383" man="1"/>
    <brk id="71" max="16383" man="1"/>
    <brk id="77" max="16383" man="1"/>
    <brk id="86" max="16383" man="1"/>
    <brk id="101" max="16383" man="1"/>
    <brk id="110" max="16383" man="1"/>
    <brk id="119" max="16383" man="1"/>
    <brk id="134" max="16383" man="1"/>
    <brk id="143" max="16383" man="1"/>
    <brk id="152" max="16383" man="1"/>
    <brk id="167" max="16383" man="1"/>
    <brk id="182" max="16383" man="1"/>
  </rowBreaks>
  <colBreaks count="1" manualBreakCount="1">
    <brk id="25" max="1048575" man="1"/>
  </colBreaks>
  <legacyDrawing r:id="rId6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27</vt:i4>
      </vt:variant>
    </vt:vector>
  </HeadingPairs>
  <TitlesOfParts>
    <vt:vector size="51" baseType="lpstr">
      <vt:lpstr>Table for SF_for publication</vt:lpstr>
      <vt:lpstr>Database</vt:lpstr>
      <vt:lpstr>Sheet1</vt:lpstr>
      <vt:lpstr>Database.Jun12</vt:lpstr>
      <vt:lpstr>Database.With SEE</vt:lpstr>
      <vt:lpstr>country list</vt:lpstr>
      <vt:lpstr>Summary.Global</vt:lpstr>
      <vt:lpstr>Figure</vt:lpstr>
      <vt:lpstr>Database.Jan 12 to SEC</vt:lpstr>
      <vt:lpstr>Summary.Global. Jan12 to SEC</vt:lpstr>
      <vt:lpstr>SEE - Bryn</vt:lpstr>
      <vt:lpstr>Summary.DeptComments</vt:lpstr>
      <vt:lpstr>Summary.Global.ToMgt</vt:lpstr>
      <vt:lpstr>Summary Table</vt:lpstr>
      <vt:lpstr>Summary.Global_Sep1</vt:lpstr>
      <vt:lpstr>Sheet3</vt:lpstr>
      <vt:lpstr>RES_G20Type</vt:lpstr>
      <vt:lpstr>RES_Notes</vt:lpstr>
      <vt:lpstr>SF Table_May1</vt:lpstr>
      <vt:lpstr>US measures</vt:lpstr>
      <vt:lpstr>USD_Billion</vt:lpstr>
      <vt:lpstr>PctGDP</vt:lpstr>
      <vt:lpstr>SF Table _FM Apr 8</vt:lpstr>
      <vt:lpstr>WKG</vt:lpstr>
      <vt:lpstr>Database!Print_Area</vt:lpstr>
      <vt:lpstr>'Database.Jan 12 to SEC'!Print_Area</vt:lpstr>
      <vt:lpstr>Database.Jun12!Print_Area</vt:lpstr>
      <vt:lpstr>'Database.With SEE'!Print_Area</vt:lpstr>
      <vt:lpstr>'SEE - Bryn'!Print_Area</vt:lpstr>
      <vt:lpstr>'SF Table _FM Apr 8'!Print_Area</vt:lpstr>
      <vt:lpstr>'SF Table_May1'!Print_Area</vt:lpstr>
      <vt:lpstr>'Summary Table'!Print_Area</vt:lpstr>
      <vt:lpstr>Summary.DeptComments!Print_Area</vt:lpstr>
      <vt:lpstr>Summary.Global!Print_Area</vt:lpstr>
      <vt:lpstr>'Summary.Global. Jan12 to SEC'!Print_Area</vt:lpstr>
      <vt:lpstr>Summary.Global.ToMgt!Print_Area</vt:lpstr>
      <vt:lpstr>Summary.Global_Sep1!Print_Area</vt:lpstr>
      <vt:lpstr>'Table for SF_for publication'!Print_Area</vt:lpstr>
      <vt:lpstr>Database!Print_Titles</vt:lpstr>
      <vt:lpstr>'Database.Jan 12 to SEC'!Print_Titles</vt:lpstr>
      <vt:lpstr>Database.Jun12!Print_Titles</vt:lpstr>
      <vt:lpstr>'Database.With SEE'!Print_Titles</vt:lpstr>
      <vt:lpstr>'SEE - Bryn'!Print_Titles</vt:lpstr>
      <vt:lpstr>'SF Table _FM Apr 8'!Print_Titles</vt:lpstr>
      <vt:lpstr>'SF Table_May1'!Print_Titles</vt:lpstr>
      <vt:lpstr>Summary.DeptComments!Print_Titles</vt:lpstr>
      <vt:lpstr>Summary.Global!Print_Titles</vt:lpstr>
      <vt:lpstr>'Summary.Global. Jan12 to SEC'!Print_Titles</vt:lpstr>
      <vt:lpstr>Summary.Global.ToMgt!Print_Titles</vt:lpstr>
      <vt:lpstr>Summary.Global_Sep1!Print_Titles</vt:lpstr>
      <vt:lpstr>'Table for SF_for publication'!Print_Titles</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Waikei Raphael</dc:creator>
  <cp:lastModifiedBy>Womer, Andrew</cp:lastModifiedBy>
  <cp:lastPrinted>2021-10-08T18:35:55Z</cp:lastPrinted>
  <dcterms:created xsi:type="dcterms:W3CDTF">2020-03-26T18:33:17Z</dcterms:created>
  <dcterms:modified xsi:type="dcterms:W3CDTF">2021-10-11T01:52:23Z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A44787D4-0540-4523-9961-78E4036D8C6D}">
    <vt:lpwstr>{F5DD3E68-0E84-4FB4-99EE-106E86CD4926}</vt:lpwstr>
  </property>
</Properties>
</file>